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Questa_cartella_di_lavoro"/>
  <bookViews>
    <workbookView xWindow="0" yWindow="0" windowWidth="20520" windowHeight="9555" tabRatio="850" firstSheet="9" activeTab="16"/>
  </bookViews>
  <sheets>
    <sheet name="1.Materiali" sheetId="9" r:id="rId1"/>
    <sheet name="2.Carichi unitari" sheetId="4" r:id="rId2"/>
    <sheet name="3.Riepilogo carichi unitari" sheetId="5" r:id="rId3"/>
    <sheet name="4.Carichi su travi solaio tipo" sheetId="6" r:id="rId4"/>
    <sheet name="5.Carichi su travi solaio cop." sheetId="18" r:id="rId5"/>
    <sheet name="6.Riep. car. travi e mom. flet." sheetId="7" r:id="rId6"/>
    <sheet name="c.v. imput tel" sheetId="16" r:id="rId7"/>
    <sheet name="Carico pilastri" sheetId="8" r:id="rId8"/>
    <sheet name="7.Riep. carico pilastri" sheetId="10" r:id="rId9"/>
    <sheet name="8.Masse e forze" sheetId="2" r:id="rId10"/>
    <sheet name="9.Car.sollecitazione" sheetId="3" r:id="rId11"/>
    <sheet name="10.Dim. pilastri e travi" sheetId="11" r:id="rId12"/>
    <sheet name="11.Riep. dim. travi e pil." sheetId="15" r:id="rId13"/>
    <sheet name="12.Rigidezze di piano" sheetId="12" r:id="rId14"/>
    <sheet name="13.PeriodoT" sheetId="13" r:id="rId15"/>
    <sheet name="14.Bilanciamento" sheetId="14" r:id="rId16"/>
    <sheet name="15.Masse reali" sheetId="17" r:id="rId17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2"/>
  <c r="O19"/>
  <c r="O20"/>
  <c r="O21"/>
  <c r="O22"/>
  <c r="O17"/>
  <c r="N18"/>
  <c r="N19"/>
  <c r="N20"/>
  <c r="N21"/>
  <c r="N22"/>
  <c r="L18"/>
  <c r="M18" s="1"/>
  <c r="L19"/>
  <c r="L20"/>
  <c r="L21"/>
  <c r="M21" s="1"/>
  <c r="L22"/>
  <c r="L17"/>
  <c r="M17" s="1"/>
  <c r="N17"/>
  <c r="M19"/>
  <c r="M20"/>
  <c r="M22"/>
  <c r="O14"/>
  <c r="S71" i="6"/>
  <c r="S71" i="18"/>
  <c r="D83"/>
  <c r="L57"/>
  <c r="D57"/>
  <c r="D56"/>
  <c r="E49"/>
  <c r="D47"/>
  <c r="F47" s="1"/>
  <c r="L46"/>
  <c r="D46"/>
  <c r="K37"/>
  <c r="L37" s="1"/>
  <c r="D37"/>
  <c r="L36"/>
  <c r="K36"/>
  <c r="D36"/>
  <c r="L27"/>
  <c r="D27"/>
  <c r="L26"/>
  <c r="D26"/>
  <c r="Q24"/>
  <c r="Q25" s="1"/>
  <c r="L17"/>
  <c r="D17"/>
  <c r="D16"/>
  <c r="L7"/>
  <c r="K7"/>
  <c r="D7"/>
  <c r="L6"/>
  <c r="K6"/>
  <c r="D6"/>
  <c r="G84" i="17"/>
  <c r="G15"/>
  <c r="D11"/>
  <c r="J11" s="1"/>
  <c r="C11"/>
  <c r="I11" s="1"/>
  <c r="O5"/>
  <c r="O6"/>
  <c r="O7"/>
  <c r="O8"/>
  <c r="O9"/>
  <c r="O4"/>
  <c r="N9"/>
  <c r="N7"/>
  <c r="N6"/>
  <c r="N5"/>
  <c r="N4"/>
  <c r="D15"/>
  <c r="G14"/>
  <c r="G13"/>
  <c r="G12"/>
  <c r="D10"/>
  <c r="J10" s="1"/>
  <c r="C10"/>
  <c r="I10" s="1"/>
  <c r="G9"/>
  <c r="G8"/>
  <c r="F6"/>
  <c r="F4"/>
  <c r="G98"/>
  <c r="D97"/>
  <c r="J97" s="1"/>
  <c r="C97"/>
  <c r="I97" s="1"/>
  <c r="G87"/>
  <c r="D86"/>
  <c r="G85"/>
  <c r="D83"/>
  <c r="J83" s="1"/>
  <c r="C83"/>
  <c r="I83" s="1"/>
  <c r="D82"/>
  <c r="J82" s="1"/>
  <c r="C82"/>
  <c r="I82" s="1"/>
  <c r="G81"/>
  <c r="G80"/>
  <c r="F78"/>
  <c r="D78"/>
  <c r="F76"/>
  <c r="D65"/>
  <c r="J65" s="1"/>
  <c r="C65"/>
  <c r="I65" s="1"/>
  <c r="G69"/>
  <c r="D69"/>
  <c r="G68"/>
  <c r="G67"/>
  <c r="G66"/>
  <c r="D64"/>
  <c r="J64" s="1"/>
  <c r="C64"/>
  <c r="I64" s="1"/>
  <c r="G63"/>
  <c r="G62"/>
  <c r="F60"/>
  <c r="F58"/>
  <c r="D46"/>
  <c r="J46" s="1"/>
  <c r="C46"/>
  <c r="I46" s="1"/>
  <c r="D50"/>
  <c r="D47"/>
  <c r="J47" s="1"/>
  <c r="C47"/>
  <c r="I47" s="1"/>
  <c r="D24"/>
  <c r="G51"/>
  <c r="G50"/>
  <c r="G49"/>
  <c r="G48"/>
  <c r="G45"/>
  <c r="G44"/>
  <c r="F42"/>
  <c r="F40"/>
  <c r="G32"/>
  <c r="G33"/>
  <c r="D29"/>
  <c r="J29" s="1"/>
  <c r="D28"/>
  <c r="J28" s="1"/>
  <c r="C29"/>
  <c r="I29" s="1"/>
  <c r="C28"/>
  <c r="I28" s="1"/>
  <c r="G31"/>
  <c r="G30"/>
  <c r="G27"/>
  <c r="G26"/>
  <c r="F24"/>
  <c r="F22"/>
  <c r="D33"/>
  <c r="J14" i="5"/>
  <c r="D6"/>
  <c r="G6" s="1"/>
  <c r="B6"/>
  <c r="E6" s="1"/>
  <c r="W15" i="4"/>
  <c r="J5" i="5"/>
  <c r="O26" i="18" s="1"/>
  <c r="D5" i="5"/>
  <c r="G5" s="1"/>
  <c r="D4"/>
  <c r="G4" s="1"/>
  <c r="B5"/>
  <c r="E5" s="1"/>
  <c r="W3" i="4"/>
  <c r="W22"/>
  <c r="W23" s="1"/>
  <c r="W17"/>
  <c r="R17"/>
  <c r="W16"/>
  <c r="R16"/>
  <c r="W18"/>
  <c r="R15"/>
  <c r="R18" s="1"/>
  <c r="S22" s="1"/>
  <c r="S23" s="1"/>
  <c r="W11"/>
  <c r="W10"/>
  <c r="W5"/>
  <c r="R5"/>
  <c r="W4"/>
  <c r="R4"/>
  <c r="W6"/>
  <c r="R3"/>
  <c r="R6" s="1"/>
  <c r="X111" i="14"/>
  <c r="B111"/>
  <c r="X108"/>
  <c r="B108"/>
  <c r="R226" i="12"/>
  <c r="S226" s="1"/>
  <c r="T226" s="1"/>
  <c r="W224"/>
  <c r="S224"/>
  <c r="T224" s="1"/>
  <c r="R223"/>
  <c r="R225"/>
  <c r="S225" s="1"/>
  <c r="T225" s="1"/>
  <c r="X225" s="1"/>
  <c r="Z225" s="1"/>
  <c r="S222"/>
  <c r="R222"/>
  <c r="T222" s="1"/>
  <c r="V222" s="1"/>
  <c r="Y222" s="1"/>
  <c r="S218"/>
  <c r="R218"/>
  <c r="T218" s="1"/>
  <c r="X218" s="1"/>
  <c r="C218"/>
  <c r="D218"/>
  <c r="E218" s="1"/>
  <c r="S216"/>
  <c r="T216" s="1"/>
  <c r="W216" s="1"/>
  <c r="H216"/>
  <c r="D216"/>
  <c r="E216"/>
  <c r="S215"/>
  <c r="C215"/>
  <c r="C217" s="1"/>
  <c r="D217" s="1"/>
  <c r="E217" s="1"/>
  <c r="I217" s="1"/>
  <c r="S214"/>
  <c r="T214" s="1"/>
  <c r="V214" s="1"/>
  <c r="Y214" s="1"/>
  <c r="R214"/>
  <c r="D214"/>
  <c r="C214"/>
  <c r="E214" s="1"/>
  <c r="G214" s="1"/>
  <c r="J214" s="1"/>
  <c r="X210"/>
  <c r="S210"/>
  <c r="R210"/>
  <c r="T210" s="1"/>
  <c r="C210"/>
  <c r="D210"/>
  <c r="E210" s="1"/>
  <c r="I210" s="1"/>
  <c r="C209"/>
  <c r="W208"/>
  <c r="T208"/>
  <c r="S208"/>
  <c r="D208"/>
  <c r="E208" s="1"/>
  <c r="H208" s="1"/>
  <c r="S207"/>
  <c r="C207"/>
  <c r="S206"/>
  <c r="R206"/>
  <c r="T206" s="1"/>
  <c r="V206" s="1"/>
  <c r="Y206" s="1"/>
  <c r="D206"/>
  <c r="E206" s="1"/>
  <c r="G206" s="1"/>
  <c r="J206" s="1"/>
  <c r="C206"/>
  <c r="R202"/>
  <c r="I202"/>
  <c r="C202"/>
  <c r="S200"/>
  <c r="T200" s="1"/>
  <c r="W200" s="1"/>
  <c r="H200"/>
  <c r="D200"/>
  <c r="E200" s="1"/>
  <c r="S199"/>
  <c r="T199" s="1"/>
  <c r="W199" s="1"/>
  <c r="R199"/>
  <c r="R201" s="1"/>
  <c r="D199"/>
  <c r="C199"/>
  <c r="C201" s="1"/>
  <c r="S198"/>
  <c r="R198"/>
  <c r="T198" s="1"/>
  <c r="V198" s="1"/>
  <c r="Y198" s="1"/>
  <c r="E198"/>
  <c r="G198" s="1"/>
  <c r="J198" s="1"/>
  <c r="D198"/>
  <c r="C198"/>
  <c r="R194"/>
  <c r="S194" s="1"/>
  <c r="C194"/>
  <c r="D194" s="1"/>
  <c r="E194" s="1"/>
  <c r="I194" s="1"/>
  <c r="W192"/>
  <c r="S192"/>
  <c r="T192" s="1"/>
  <c r="D192"/>
  <c r="E192" s="1"/>
  <c r="H192" s="1"/>
  <c r="S191"/>
  <c r="R191"/>
  <c r="R193" s="1"/>
  <c r="D191"/>
  <c r="C191"/>
  <c r="C193" s="1"/>
  <c r="S190"/>
  <c r="R190"/>
  <c r="T190" s="1"/>
  <c r="V190" s="1"/>
  <c r="Y190" s="1"/>
  <c r="E190"/>
  <c r="G190" s="1"/>
  <c r="J190" s="1"/>
  <c r="D190"/>
  <c r="C190"/>
  <c r="X86" i="14"/>
  <c r="X83"/>
  <c r="B86"/>
  <c r="B83"/>
  <c r="X61"/>
  <c r="X58"/>
  <c r="B61"/>
  <c r="B58"/>
  <c r="X36"/>
  <c r="B36"/>
  <c r="B33"/>
  <c r="X33"/>
  <c r="X11"/>
  <c r="X8"/>
  <c r="F17" i="2"/>
  <c r="D20" i="15"/>
  <c r="R80" i="12" s="1"/>
  <c r="D19" i="15"/>
  <c r="R78" i="12" s="1"/>
  <c r="D18" i="15"/>
  <c r="R117" i="12" s="1"/>
  <c r="D15" i="15"/>
  <c r="D16"/>
  <c r="R207" i="12" s="1"/>
  <c r="T207" s="1"/>
  <c r="W207" s="1"/>
  <c r="D17" i="15"/>
  <c r="R115" i="12" s="1"/>
  <c r="T115" s="1"/>
  <c r="W115" s="1"/>
  <c r="C15" i="15"/>
  <c r="C16"/>
  <c r="D215" i="12" s="1"/>
  <c r="D161"/>
  <c r="C17" i="15"/>
  <c r="C20"/>
  <c r="C19"/>
  <c r="S63" i="12" s="1"/>
  <c r="T63" s="1"/>
  <c r="W63" s="1"/>
  <c r="C18" i="15"/>
  <c r="R172" i="12"/>
  <c r="S170"/>
  <c r="T170" s="1"/>
  <c r="W170" s="1"/>
  <c r="S169"/>
  <c r="R169"/>
  <c r="T169" s="1"/>
  <c r="W169" s="1"/>
  <c r="S162"/>
  <c r="T162" s="1"/>
  <c r="S161"/>
  <c r="R161"/>
  <c r="T161" s="1"/>
  <c r="W161" s="1"/>
  <c r="S160"/>
  <c r="R160"/>
  <c r="R180"/>
  <c r="S180"/>
  <c r="T180" s="1"/>
  <c r="S178"/>
  <c r="T178" s="1"/>
  <c r="R177"/>
  <c r="R179"/>
  <c r="S176"/>
  <c r="R176"/>
  <c r="R156"/>
  <c r="R155"/>
  <c r="S155" s="1"/>
  <c r="T155" s="1"/>
  <c r="X155" s="1"/>
  <c r="Z155" s="1"/>
  <c r="S154"/>
  <c r="T154" s="1"/>
  <c r="W154" s="1"/>
  <c r="R153"/>
  <c r="S152"/>
  <c r="R152"/>
  <c r="T152" s="1"/>
  <c r="V152" s="1"/>
  <c r="Y152" s="1"/>
  <c r="S148"/>
  <c r="R148"/>
  <c r="T148" s="1"/>
  <c r="R147"/>
  <c r="S146"/>
  <c r="T146" s="1"/>
  <c r="W146"/>
  <c r="R145"/>
  <c r="S144"/>
  <c r="R144"/>
  <c r="D172"/>
  <c r="E172" s="1"/>
  <c r="C172"/>
  <c r="D170"/>
  <c r="E170" s="1"/>
  <c r="D169"/>
  <c r="C169"/>
  <c r="C171" s="1"/>
  <c r="D171" s="1"/>
  <c r="E171" s="1"/>
  <c r="I171" s="1"/>
  <c r="D168"/>
  <c r="C168"/>
  <c r="C164"/>
  <c r="C161"/>
  <c r="C163" s="1"/>
  <c r="D163" s="1"/>
  <c r="E163" s="1"/>
  <c r="I163" s="1"/>
  <c r="D160"/>
  <c r="C160"/>
  <c r="C156"/>
  <c r="I156" s="1"/>
  <c r="D154"/>
  <c r="E154" s="1"/>
  <c r="H154"/>
  <c r="C153"/>
  <c r="C155" s="1"/>
  <c r="D152"/>
  <c r="C152"/>
  <c r="D144"/>
  <c r="C144"/>
  <c r="W178"/>
  <c r="S168"/>
  <c r="R168"/>
  <c r="T168" s="1"/>
  <c r="V168" s="1"/>
  <c r="Y168" s="1"/>
  <c r="R164"/>
  <c r="X164" s="1"/>
  <c r="W162"/>
  <c r="R134"/>
  <c r="S134"/>
  <c r="T134" s="1"/>
  <c r="S132"/>
  <c r="T132" s="1"/>
  <c r="W132"/>
  <c r="R131"/>
  <c r="R133"/>
  <c r="S133" s="1"/>
  <c r="T133" s="1"/>
  <c r="X133" s="1"/>
  <c r="R126"/>
  <c r="S126"/>
  <c r="S124"/>
  <c r="T124" s="1"/>
  <c r="W124" s="1"/>
  <c r="S123"/>
  <c r="S122"/>
  <c r="R122"/>
  <c r="S116"/>
  <c r="T116" s="1"/>
  <c r="W116"/>
  <c r="S115"/>
  <c r="R110"/>
  <c r="R107"/>
  <c r="R109" s="1"/>
  <c r="S109" s="1"/>
  <c r="T109" s="1"/>
  <c r="X109" s="1"/>
  <c r="R102"/>
  <c r="S102"/>
  <c r="T102" s="1"/>
  <c r="S100"/>
  <c r="T100" s="1"/>
  <c r="W100"/>
  <c r="R99"/>
  <c r="R101" s="1"/>
  <c r="S101" s="1"/>
  <c r="T101" s="1"/>
  <c r="X101" s="1"/>
  <c r="Z101" s="1"/>
  <c r="C126"/>
  <c r="D126"/>
  <c r="E126" s="1"/>
  <c r="C125"/>
  <c r="D125" s="1"/>
  <c r="E125" s="1"/>
  <c r="I125" s="1"/>
  <c r="K125" s="1"/>
  <c r="D124"/>
  <c r="E124"/>
  <c r="H124"/>
  <c r="C123"/>
  <c r="C118"/>
  <c r="D118"/>
  <c r="E118" s="1"/>
  <c r="I118" s="1"/>
  <c r="C115"/>
  <c r="C117"/>
  <c r="D117" s="1"/>
  <c r="E117" s="1"/>
  <c r="I117" s="1"/>
  <c r="K117" s="1"/>
  <c r="C110"/>
  <c r="D110"/>
  <c r="D108"/>
  <c r="E108" s="1"/>
  <c r="H108"/>
  <c r="C107"/>
  <c r="C109"/>
  <c r="D109" s="1"/>
  <c r="E109" s="1"/>
  <c r="I109" s="1"/>
  <c r="K109" s="1"/>
  <c r="C99"/>
  <c r="C101"/>
  <c r="D101"/>
  <c r="H170"/>
  <c r="C148"/>
  <c r="C145"/>
  <c r="C147"/>
  <c r="D147" s="1"/>
  <c r="E147" s="1"/>
  <c r="I147" s="1"/>
  <c r="S98"/>
  <c r="T98" s="1"/>
  <c r="V98" s="1"/>
  <c r="Y98" s="1"/>
  <c r="R98"/>
  <c r="S106"/>
  <c r="R106"/>
  <c r="T106" s="1"/>
  <c r="V106" s="1"/>
  <c r="Y106" s="1"/>
  <c r="R118"/>
  <c r="S114"/>
  <c r="R114"/>
  <c r="T114" s="1"/>
  <c r="V114" s="1"/>
  <c r="Y114" s="1"/>
  <c r="R130"/>
  <c r="T130" s="1"/>
  <c r="V130" s="1"/>
  <c r="Y130" s="1"/>
  <c r="S130"/>
  <c r="D122"/>
  <c r="E122" s="1"/>
  <c r="G122" s="1"/>
  <c r="J122" s="1"/>
  <c r="C122"/>
  <c r="D114"/>
  <c r="C114"/>
  <c r="E114" s="1"/>
  <c r="G114" s="1"/>
  <c r="J114" s="1"/>
  <c r="D106"/>
  <c r="E106" s="1"/>
  <c r="G106" s="1"/>
  <c r="J106" s="1"/>
  <c r="C106"/>
  <c r="D98"/>
  <c r="C98"/>
  <c r="E98" s="1"/>
  <c r="G98" s="1"/>
  <c r="J98" s="1"/>
  <c r="R89"/>
  <c r="S89" s="1"/>
  <c r="T89" s="1"/>
  <c r="X89" s="1"/>
  <c r="R86"/>
  <c r="R88" s="1"/>
  <c r="R85"/>
  <c r="T85" s="1"/>
  <c r="V85" s="1"/>
  <c r="Y85" s="1"/>
  <c r="S85"/>
  <c r="R65"/>
  <c r="R62"/>
  <c r="R64"/>
  <c r="S64" s="1"/>
  <c r="T64" s="1"/>
  <c r="X64" s="1"/>
  <c r="Z64" s="1"/>
  <c r="S61"/>
  <c r="T61" s="1"/>
  <c r="V61" s="1"/>
  <c r="Y61" s="1"/>
  <c r="R61"/>
  <c r="R57"/>
  <c r="R56"/>
  <c r="R54"/>
  <c r="R53"/>
  <c r="D62"/>
  <c r="C62"/>
  <c r="C54"/>
  <c r="C56" s="1"/>
  <c r="D56" s="1"/>
  <c r="E56" s="1"/>
  <c r="I56" s="1"/>
  <c r="C57"/>
  <c r="C102"/>
  <c r="D102" s="1"/>
  <c r="E102" s="1"/>
  <c r="I102" s="1"/>
  <c r="W71"/>
  <c r="X73"/>
  <c r="S73"/>
  <c r="T73" s="1"/>
  <c r="S71"/>
  <c r="T71" s="1"/>
  <c r="S70"/>
  <c r="S78"/>
  <c r="S55"/>
  <c r="T55"/>
  <c r="W55"/>
  <c r="I81"/>
  <c r="I65"/>
  <c r="D53"/>
  <c r="C53"/>
  <c r="D65"/>
  <c r="E65" s="1"/>
  <c r="D63"/>
  <c r="E63" s="1"/>
  <c r="H63"/>
  <c r="D61"/>
  <c r="C61"/>
  <c r="E61" s="1"/>
  <c r="G61" s="1"/>
  <c r="J61" s="1"/>
  <c r="D71"/>
  <c r="E71" s="1"/>
  <c r="H71" s="1"/>
  <c r="C70"/>
  <c r="D69"/>
  <c r="C69"/>
  <c r="D77"/>
  <c r="C77"/>
  <c r="E77" s="1"/>
  <c r="G77" s="1"/>
  <c r="J77" s="1"/>
  <c r="D79"/>
  <c r="E79" s="1"/>
  <c r="H79"/>
  <c r="D81"/>
  <c r="E81" s="1"/>
  <c r="C78"/>
  <c r="S77"/>
  <c r="R77"/>
  <c r="T77" s="1"/>
  <c r="V77" s="1"/>
  <c r="Y77" s="1"/>
  <c r="S69"/>
  <c r="R69"/>
  <c r="T69" s="1"/>
  <c r="V69" s="1"/>
  <c r="Y69" s="1"/>
  <c r="S53"/>
  <c r="X35"/>
  <c r="T35"/>
  <c r="X34"/>
  <c r="T34"/>
  <c r="S33"/>
  <c r="T33" s="1"/>
  <c r="W33" s="1"/>
  <c r="S32"/>
  <c r="S31"/>
  <c r="R31"/>
  <c r="T31" s="1"/>
  <c r="V31" s="1"/>
  <c r="S24"/>
  <c r="S25"/>
  <c r="T25"/>
  <c r="W25"/>
  <c r="S23"/>
  <c r="T23" s="1"/>
  <c r="V23" s="1"/>
  <c r="R23"/>
  <c r="R39"/>
  <c r="S39"/>
  <c r="S9"/>
  <c r="T9" s="1"/>
  <c r="W9"/>
  <c r="X43"/>
  <c r="T43"/>
  <c r="X42"/>
  <c r="T42"/>
  <c r="W41"/>
  <c r="S41"/>
  <c r="T41" s="1"/>
  <c r="R40"/>
  <c r="X27"/>
  <c r="T27"/>
  <c r="X26"/>
  <c r="T26"/>
  <c r="X19"/>
  <c r="T19"/>
  <c r="X18"/>
  <c r="T18"/>
  <c r="S16"/>
  <c r="R16"/>
  <c r="T16" s="1"/>
  <c r="W16" s="1"/>
  <c r="S15"/>
  <c r="R15"/>
  <c r="T15" s="1"/>
  <c r="V15" s="1"/>
  <c r="X11"/>
  <c r="T11"/>
  <c r="X10"/>
  <c r="T10"/>
  <c r="S8"/>
  <c r="R8"/>
  <c r="T8" s="1"/>
  <c r="W8" s="1"/>
  <c r="S7"/>
  <c r="R7"/>
  <c r="T7" s="1"/>
  <c r="V7" s="1"/>
  <c r="D31"/>
  <c r="C31"/>
  <c r="E31" s="1"/>
  <c r="G31" s="1"/>
  <c r="I35"/>
  <c r="E35"/>
  <c r="I34"/>
  <c r="E34"/>
  <c r="D33"/>
  <c r="E33" s="1"/>
  <c r="H33"/>
  <c r="C32"/>
  <c r="H56" i="11"/>
  <c r="H39"/>
  <c r="H75"/>
  <c r="I27" i="12"/>
  <c r="E27"/>
  <c r="I26"/>
  <c r="E26"/>
  <c r="C24"/>
  <c r="D23"/>
  <c r="C23"/>
  <c r="H17"/>
  <c r="D17"/>
  <c r="E17" s="1"/>
  <c r="I19"/>
  <c r="E19"/>
  <c r="I18"/>
  <c r="E18"/>
  <c r="C16"/>
  <c r="D15"/>
  <c r="C15"/>
  <c r="D9"/>
  <c r="C9"/>
  <c r="E9" s="1"/>
  <c r="H9" s="1"/>
  <c r="C8"/>
  <c r="D7"/>
  <c r="C7"/>
  <c r="I11"/>
  <c r="I218"/>
  <c r="X226"/>
  <c r="R125"/>
  <c r="S145"/>
  <c r="T145" s="1"/>
  <c r="W145" s="1"/>
  <c r="S153"/>
  <c r="T153" s="1"/>
  <c r="W153" s="1"/>
  <c r="S177"/>
  <c r="D146"/>
  <c r="E146" s="1"/>
  <c r="H146" s="1"/>
  <c r="D153"/>
  <c r="E153" s="1"/>
  <c r="H153" s="1"/>
  <c r="D145"/>
  <c r="E145" s="1"/>
  <c r="H145" s="1"/>
  <c r="D162"/>
  <c r="E162" s="1"/>
  <c r="H162" s="1"/>
  <c r="S156"/>
  <c r="T156" s="1"/>
  <c r="X156" s="1"/>
  <c r="D100"/>
  <c r="E100" s="1"/>
  <c r="H100" s="1"/>
  <c r="D73"/>
  <c r="E73" s="1"/>
  <c r="I73" s="1"/>
  <c r="D72"/>
  <c r="E72"/>
  <c r="I72" s="1"/>
  <c r="S86"/>
  <c r="T86" s="1"/>
  <c r="W86" s="1"/>
  <c r="D32"/>
  <c r="D80"/>
  <c r="E80" s="1"/>
  <c r="I80" s="1"/>
  <c r="D64"/>
  <c r="E64" s="1"/>
  <c r="I64" s="1"/>
  <c r="S40"/>
  <c r="T40" s="1"/>
  <c r="W40" s="1"/>
  <c r="D24"/>
  <c r="S65"/>
  <c r="T65"/>
  <c r="X65" s="1"/>
  <c r="D8"/>
  <c r="S17"/>
  <c r="T17" s="1"/>
  <c r="W17" s="1"/>
  <c r="X180"/>
  <c r="E160"/>
  <c r="G160" s="1"/>
  <c r="J160" s="1"/>
  <c r="T160"/>
  <c r="V160" s="1"/>
  <c r="Y160" s="1"/>
  <c r="T144"/>
  <c r="V144" s="1"/>
  <c r="Y144" s="1"/>
  <c r="E53"/>
  <c r="G53" s="1"/>
  <c r="J53" s="1"/>
  <c r="E152"/>
  <c r="G152" s="1"/>
  <c r="J152" s="1"/>
  <c r="X102"/>
  <c r="E23"/>
  <c r="G23" s="1"/>
  <c r="E110"/>
  <c r="I110"/>
  <c r="T177"/>
  <c r="W177" s="1"/>
  <c r="T176"/>
  <c r="V176" s="1"/>
  <c r="Y176" s="1"/>
  <c r="X148"/>
  <c r="E168"/>
  <c r="G168" s="1"/>
  <c r="J168" s="1"/>
  <c r="E144"/>
  <c r="G144" s="1"/>
  <c r="J144" s="1"/>
  <c r="X134"/>
  <c r="I172"/>
  <c r="E169"/>
  <c r="H169" s="1"/>
  <c r="K168" s="1"/>
  <c r="T126"/>
  <c r="X126" s="1"/>
  <c r="T122"/>
  <c r="V122" s="1"/>
  <c r="Y122" s="1"/>
  <c r="I126"/>
  <c r="X57"/>
  <c r="S57"/>
  <c r="T57" s="1"/>
  <c r="S56"/>
  <c r="T56" s="1"/>
  <c r="X56" s="1"/>
  <c r="D57"/>
  <c r="E57" s="1"/>
  <c r="I57" s="1"/>
  <c r="E101"/>
  <c r="I101" s="1"/>
  <c r="T53"/>
  <c r="V53" s="1"/>
  <c r="Y53" s="1"/>
  <c r="T39"/>
  <c r="V39" s="1"/>
  <c r="E69"/>
  <c r="G69" s="1"/>
  <c r="J69" s="1"/>
  <c r="D16"/>
  <c r="E16" s="1"/>
  <c r="H16" s="1"/>
  <c r="D25"/>
  <c r="E25" s="1"/>
  <c r="H25" s="1"/>
  <c r="E32"/>
  <c r="H32" s="1"/>
  <c r="E15"/>
  <c r="G15" s="1"/>
  <c r="E11"/>
  <c r="E7"/>
  <c r="G7" s="1"/>
  <c r="B8" i="14"/>
  <c r="B11"/>
  <c r="E10" i="12"/>
  <c r="I10"/>
  <c r="B20" i="13"/>
  <c r="J20" s="1"/>
  <c r="E17" i="2"/>
  <c r="B11"/>
  <c r="B7" i="13"/>
  <c r="B8"/>
  <c r="J8"/>
  <c r="B9"/>
  <c r="B23" s="1"/>
  <c r="B10"/>
  <c r="B12" s="1"/>
  <c r="J3" s="1"/>
  <c r="B11"/>
  <c r="D11" s="1"/>
  <c r="B6"/>
  <c r="J6"/>
  <c r="E17"/>
  <c r="E3"/>
  <c r="C24"/>
  <c r="C23"/>
  <c r="C22"/>
  <c r="C21"/>
  <c r="C20"/>
  <c r="B25"/>
  <c r="J25" s="1"/>
  <c r="C10"/>
  <c r="C9"/>
  <c r="C8"/>
  <c r="D8"/>
  <c r="D9"/>
  <c r="C7"/>
  <c r="B22"/>
  <c r="J9"/>
  <c r="J11"/>
  <c r="J7"/>
  <c r="B21"/>
  <c r="J21" s="1"/>
  <c r="C6"/>
  <c r="D6"/>
  <c r="D7"/>
  <c r="D21"/>
  <c r="D22"/>
  <c r="J22"/>
  <c r="O139" i="8"/>
  <c r="O138"/>
  <c r="O137"/>
  <c r="O133"/>
  <c r="O128"/>
  <c r="R126"/>
  <c r="R125"/>
  <c r="H93" i="11"/>
  <c r="G18" i="7"/>
  <c r="G17"/>
  <c r="G5" i="11"/>
  <c r="C8" i="3"/>
  <c r="C19" s="1"/>
  <c r="C10"/>
  <c r="E10" s="1"/>
  <c r="B2" i="2"/>
  <c r="D42" i="8"/>
  <c r="D41"/>
  <c r="D40"/>
  <c r="D36"/>
  <c r="D30"/>
  <c r="C29"/>
  <c r="D29"/>
  <c r="C28"/>
  <c r="D28"/>
  <c r="G29"/>
  <c r="O36"/>
  <c r="O39"/>
  <c r="O41"/>
  <c r="O40"/>
  <c r="R29"/>
  <c r="D163"/>
  <c r="D162"/>
  <c r="D161"/>
  <c r="D157"/>
  <c r="G150"/>
  <c r="D150"/>
  <c r="G149"/>
  <c r="D126"/>
  <c r="G125"/>
  <c r="D125"/>
  <c r="L37" i="6"/>
  <c r="Q24"/>
  <c r="Q25" s="1"/>
  <c r="L7"/>
  <c r="O101" i="8"/>
  <c r="R100"/>
  <c r="O100"/>
  <c r="D77"/>
  <c r="D88"/>
  <c r="G76"/>
  <c r="D76"/>
  <c r="O77"/>
  <c r="O76"/>
  <c r="O108"/>
  <c r="D84"/>
  <c r="O113"/>
  <c r="O112"/>
  <c r="D137"/>
  <c r="D134"/>
  <c r="D138"/>
  <c r="D133"/>
  <c r="O109"/>
  <c r="D89"/>
  <c r="D85"/>
  <c r="O90"/>
  <c r="R77"/>
  <c r="O84"/>
  <c r="R76"/>
  <c r="D111"/>
  <c r="D108"/>
  <c r="G101"/>
  <c r="D113"/>
  <c r="D101"/>
  <c r="G100"/>
  <c r="D100"/>
  <c r="D114"/>
  <c r="G28"/>
  <c r="O53"/>
  <c r="O62"/>
  <c r="D53"/>
  <c r="R52"/>
  <c r="O52"/>
  <c r="G52"/>
  <c r="D52"/>
  <c r="O5"/>
  <c r="O13"/>
  <c r="R5"/>
  <c r="O29"/>
  <c r="R28"/>
  <c r="O28"/>
  <c r="O89"/>
  <c r="O64"/>
  <c r="O12"/>
  <c r="O16"/>
  <c r="O17"/>
  <c r="D60"/>
  <c r="D64"/>
  <c r="D61"/>
  <c r="O61"/>
  <c r="O65"/>
  <c r="O60"/>
  <c r="D65"/>
  <c r="N57" i="6"/>
  <c r="N60" s="1"/>
  <c r="L57"/>
  <c r="F83"/>
  <c r="D83"/>
  <c r="C4" i="5"/>
  <c r="F4" s="1"/>
  <c r="B12"/>
  <c r="J12" s="1"/>
  <c r="D14" i="17" s="1"/>
  <c r="J14" s="1"/>
  <c r="B11" i="5"/>
  <c r="E11" s="1"/>
  <c r="M49" i="18" s="1"/>
  <c r="B8" i="5"/>
  <c r="E8" s="1"/>
  <c r="R71" i="6" s="1"/>
  <c r="B7" i="5"/>
  <c r="J7" s="1"/>
  <c r="D6" i="17" s="1"/>
  <c r="F85" i="6"/>
  <c r="B4" i="5"/>
  <c r="E4" s="1"/>
  <c r="D4" i="8"/>
  <c r="H4"/>
  <c r="D5"/>
  <c r="H5"/>
  <c r="D47" i="6"/>
  <c r="L46"/>
  <c r="D46"/>
  <c r="K37"/>
  <c r="D37"/>
  <c r="K36"/>
  <c r="L36" s="1"/>
  <c r="D36"/>
  <c r="L27"/>
  <c r="D27"/>
  <c r="L26"/>
  <c r="D26"/>
  <c r="D57"/>
  <c r="L17"/>
  <c r="D17"/>
  <c r="D56"/>
  <c r="D16"/>
  <c r="K7"/>
  <c r="D7"/>
  <c r="K6"/>
  <c r="L6" s="1"/>
  <c r="D6"/>
  <c r="F96" i="4"/>
  <c r="F97"/>
  <c r="F86"/>
  <c r="F87"/>
  <c r="C72"/>
  <c r="C71"/>
  <c r="C73"/>
  <c r="D76"/>
  <c r="D77"/>
  <c r="D67"/>
  <c r="D66"/>
  <c r="H62"/>
  <c r="C62"/>
  <c r="C61"/>
  <c r="C60"/>
  <c r="H59"/>
  <c r="C59"/>
  <c r="F55"/>
  <c r="F54"/>
  <c r="H51"/>
  <c r="C47"/>
  <c r="H46"/>
  <c r="C46"/>
  <c r="H45"/>
  <c r="C45"/>
  <c r="M44"/>
  <c r="H44"/>
  <c r="M43"/>
  <c r="C40"/>
  <c r="C39"/>
  <c r="C31"/>
  <c r="C30"/>
  <c r="C44"/>
  <c r="H27"/>
  <c r="H43"/>
  <c r="H47"/>
  <c r="M46"/>
  <c r="C18"/>
  <c r="D21"/>
  <c r="D22"/>
  <c r="H17"/>
  <c r="C17"/>
  <c r="H16"/>
  <c r="H18"/>
  <c r="C16"/>
  <c r="M15"/>
  <c r="F21"/>
  <c r="F22"/>
  <c r="H15"/>
  <c r="C15"/>
  <c r="H11"/>
  <c r="H10"/>
  <c r="M5"/>
  <c r="F10"/>
  <c r="F11"/>
  <c r="H5"/>
  <c r="C5"/>
  <c r="C6"/>
  <c r="H4"/>
  <c r="C4"/>
  <c r="H3"/>
  <c r="H6"/>
  <c r="C3"/>
  <c r="B5" i="2"/>
  <c r="B6"/>
  <c r="B7"/>
  <c r="B4"/>
  <c r="D14" i="8"/>
  <c r="D13"/>
  <c r="D16"/>
  <c r="D17"/>
  <c r="D12"/>
  <c r="F47" i="6"/>
  <c r="F6"/>
  <c r="F56"/>
  <c r="C83" i="4"/>
  <c r="D86"/>
  <c r="B9" i="5" s="1"/>
  <c r="E9" s="1"/>
  <c r="R72" i="6" s="1"/>
  <c r="C93" i="4"/>
  <c r="D96" s="1"/>
  <c r="D10"/>
  <c r="D11"/>
  <c r="M47"/>
  <c r="C51"/>
  <c r="D54"/>
  <c r="D55"/>
  <c r="C43"/>
  <c r="C48"/>
  <c r="M45"/>
  <c r="D14" i="3"/>
  <c r="D13"/>
  <c r="D12"/>
  <c r="C17" i="2"/>
  <c r="C18"/>
  <c r="C19"/>
  <c r="C20"/>
  <c r="C21"/>
  <c r="C22"/>
  <c r="D8" i="3"/>
  <c r="D9"/>
  <c r="D10"/>
  <c r="D11"/>
  <c r="B12" i="2"/>
  <c r="D2"/>
  <c r="D3"/>
  <c r="D4"/>
  <c r="E4"/>
  <c r="D5"/>
  <c r="B20"/>
  <c r="D6"/>
  <c r="B21"/>
  <c r="D7"/>
  <c r="D21"/>
  <c r="D20"/>
  <c r="E7"/>
  <c r="B22"/>
  <c r="D22"/>
  <c r="E5"/>
  <c r="E6"/>
  <c r="D8"/>
  <c r="B14"/>
  <c r="B19"/>
  <c r="D19"/>
  <c r="B18"/>
  <c r="D18"/>
  <c r="E3"/>
  <c r="B17"/>
  <c r="D17"/>
  <c r="E2"/>
  <c r="D23"/>
  <c r="E22"/>
  <c r="E8"/>
  <c r="E21"/>
  <c r="E20"/>
  <c r="E19"/>
  <c r="E18"/>
  <c r="B8" i="3"/>
  <c r="B19" s="1"/>
  <c r="F18" i="2"/>
  <c r="F19"/>
  <c r="B9" i="3"/>
  <c r="C9" s="1"/>
  <c r="F20" i="2"/>
  <c r="B10" i="3"/>
  <c r="B21" s="1"/>
  <c r="C21"/>
  <c r="F21" i="2"/>
  <c r="B11" i="3"/>
  <c r="C11" s="1"/>
  <c r="B12"/>
  <c r="C12" s="1"/>
  <c r="F22" i="2"/>
  <c r="B13" i="3"/>
  <c r="C13" s="1"/>
  <c r="B24"/>
  <c r="K34" i="12" l="1"/>
  <c r="K31"/>
  <c r="J31"/>
  <c r="Z42"/>
  <c r="Y39"/>
  <c r="Z10"/>
  <c r="Y7"/>
  <c r="Y15"/>
  <c r="Z18"/>
  <c r="Y23"/>
  <c r="Z26"/>
  <c r="Z133"/>
  <c r="K15"/>
  <c r="K18"/>
  <c r="J15"/>
  <c r="K64"/>
  <c r="L61" s="1"/>
  <c r="M61" s="1"/>
  <c r="E202"/>
  <c r="S88"/>
  <c r="T88" s="1"/>
  <c r="X88" s="1"/>
  <c r="Z88" s="1"/>
  <c r="K26"/>
  <c r="J23"/>
  <c r="Y31"/>
  <c r="Z34"/>
  <c r="K10"/>
  <c r="J7"/>
  <c r="K144"/>
  <c r="T118"/>
  <c r="X172"/>
  <c r="Z176"/>
  <c r="Z39"/>
  <c r="AA39" s="1"/>
  <c r="AB39" s="1"/>
  <c r="AD4" i="14" s="1"/>
  <c r="Z7" i="12"/>
  <c r="AA7" s="1"/>
  <c r="AB7" s="1"/>
  <c r="AD16" i="14" s="1"/>
  <c r="Z15" i="12"/>
  <c r="K171"/>
  <c r="L168" s="1"/>
  <c r="M168" s="1"/>
  <c r="K217"/>
  <c r="Z168"/>
  <c r="D164"/>
  <c r="E164" s="1"/>
  <c r="I164" s="1"/>
  <c r="K163" s="1"/>
  <c r="K152"/>
  <c r="S110"/>
  <c r="Z114"/>
  <c r="E24"/>
  <c r="H24" s="1"/>
  <c r="K23" s="1"/>
  <c r="S118"/>
  <c r="T110"/>
  <c r="X110" s="1"/>
  <c r="Z109" s="1"/>
  <c r="S164"/>
  <c r="T164" s="1"/>
  <c r="E191"/>
  <c r="H191" s="1"/>
  <c r="K190" s="1"/>
  <c r="D202"/>
  <c r="X118"/>
  <c r="K80"/>
  <c r="S172"/>
  <c r="E215"/>
  <c r="H215" s="1"/>
  <c r="K214" s="1"/>
  <c r="L214" s="1"/>
  <c r="M214" s="1"/>
  <c r="D114" i="14" s="1"/>
  <c r="E199" i="12"/>
  <c r="H199" s="1"/>
  <c r="K198" s="1"/>
  <c r="Z206"/>
  <c r="Z56"/>
  <c r="E8"/>
  <c r="H8" s="1"/>
  <c r="K7" s="1"/>
  <c r="L7" s="1"/>
  <c r="M7" s="1"/>
  <c r="L16" i="14" s="1"/>
  <c r="D209" i="12"/>
  <c r="E209" s="1"/>
  <c r="I209" s="1"/>
  <c r="K209" s="1"/>
  <c r="T172"/>
  <c r="D156"/>
  <c r="E156" s="1"/>
  <c r="T194"/>
  <c r="Z160"/>
  <c r="E161"/>
  <c r="H161" s="1"/>
  <c r="K160" s="1"/>
  <c r="L160" s="1"/>
  <c r="M160" s="1"/>
  <c r="Z144"/>
  <c r="T78"/>
  <c r="W78" s="1"/>
  <c r="X194"/>
  <c r="E62"/>
  <c r="H62" s="1"/>
  <c r="K61" s="1"/>
  <c r="T191"/>
  <c r="W191" s="1"/>
  <c r="Z190" s="1"/>
  <c r="Z4" i="14"/>
  <c r="AJ16"/>
  <c r="AN4"/>
  <c r="Z18"/>
  <c r="AN18"/>
  <c r="AF11"/>
  <c r="AH11"/>
  <c r="AJ4"/>
  <c r="AD18"/>
  <c r="AF16"/>
  <c r="Z85" i="12"/>
  <c r="Z152"/>
  <c r="AA152" s="1"/>
  <c r="AB152" s="1"/>
  <c r="K56"/>
  <c r="K101"/>
  <c r="K72"/>
  <c r="Z198"/>
  <c r="J6" i="14"/>
  <c r="D201" i="12"/>
  <c r="E201" s="1"/>
  <c r="I201" s="1"/>
  <c r="K201" s="1"/>
  <c r="L198" s="1"/>
  <c r="M198" s="1"/>
  <c r="D78"/>
  <c r="E78" s="1"/>
  <c r="H78" s="1"/>
  <c r="K77" s="1"/>
  <c r="L77" s="1"/>
  <c r="M77" s="1"/>
  <c r="S131"/>
  <c r="T131" s="1"/>
  <c r="W131" s="1"/>
  <c r="Z130" s="1"/>
  <c r="AA130" s="1"/>
  <c r="AB130" s="1"/>
  <c r="S108"/>
  <c r="T108" s="1"/>
  <c r="W108" s="1"/>
  <c r="R79"/>
  <c r="S79" s="1"/>
  <c r="T79" s="1"/>
  <c r="W79" s="1"/>
  <c r="Z77" s="1"/>
  <c r="S201"/>
  <c r="T201" s="1"/>
  <c r="X201" s="1"/>
  <c r="Z201" s="1"/>
  <c r="D70"/>
  <c r="E70" s="1"/>
  <c r="H70" s="1"/>
  <c r="K69" s="1"/>
  <c r="D55"/>
  <c r="E55" s="1"/>
  <c r="H55" s="1"/>
  <c r="D99"/>
  <c r="E99" s="1"/>
  <c r="H99" s="1"/>
  <c r="K98" s="1"/>
  <c r="L98" s="1"/>
  <c r="M98" s="1"/>
  <c r="D115"/>
  <c r="E115" s="1"/>
  <c r="H115" s="1"/>
  <c r="S107"/>
  <c r="T107" s="1"/>
  <c r="W107" s="1"/>
  <c r="Z106" s="1"/>
  <c r="S223"/>
  <c r="T223" s="1"/>
  <c r="W223" s="1"/>
  <c r="Z222" s="1"/>
  <c r="AA222" s="1"/>
  <c r="AB222" s="1"/>
  <c r="R215"/>
  <c r="T215" s="1"/>
  <c r="W215" s="1"/>
  <c r="Z214" s="1"/>
  <c r="S62"/>
  <c r="T62" s="1"/>
  <c r="W62" s="1"/>
  <c r="Z61" s="1"/>
  <c r="AA61" s="1"/>
  <c r="AB61" s="1"/>
  <c r="S87"/>
  <c r="T87" s="1"/>
  <c r="W87" s="1"/>
  <c r="S147"/>
  <c r="T147" s="1"/>
  <c r="X147" s="1"/>
  <c r="Z147" s="1"/>
  <c r="AA144" s="1"/>
  <c r="AB144" s="1"/>
  <c r="D155"/>
  <c r="E155" s="1"/>
  <c r="I155" s="1"/>
  <c r="K155" s="1"/>
  <c r="L152" s="1"/>
  <c r="M152" s="1"/>
  <c r="S179"/>
  <c r="T179" s="1"/>
  <c r="X179" s="1"/>
  <c r="Z179" s="1"/>
  <c r="AA176" s="1"/>
  <c r="AB176" s="1"/>
  <c r="D54"/>
  <c r="E54" s="1"/>
  <c r="H54" s="1"/>
  <c r="S54"/>
  <c r="T54" s="1"/>
  <c r="W54" s="1"/>
  <c r="Z53" s="1"/>
  <c r="AA53" s="1"/>
  <c r="AB53" s="1"/>
  <c r="D207"/>
  <c r="E207" s="1"/>
  <c r="H207" s="1"/>
  <c r="K206" s="1"/>
  <c r="L206" s="1"/>
  <c r="M206" s="1"/>
  <c r="F111" i="14" s="1"/>
  <c r="S99" i="12"/>
  <c r="T99" s="1"/>
  <c r="W99" s="1"/>
  <c r="Z98" s="1"/>
  <c r="AA98" s="1"/>
  <c r="AB98" s="1"/>
  <c r="D116"/>
  <c r="E116" s="1"/>
  <c r="H116" s="1"/>
  <c r="D107"/>
  <c r="E107" s="1"/>
  <c r="H107" s="1"/>
  <c r="K106" s="1"/>
  <c r="L106" s="1"/>
  <c r="M106" s="1"/>
  <c r="D123"/>
  <c r="E123" s="1"/>
  <c r="H123" s="1"/>
  <c r="K122" s="1"/>
  <c r="L122" s="1"/>
  <c r="M122" s="1"/>
  <c r="D148"/>
  <c r="E148" s="1"/>
  <c r="I148" s="1"/>
  <c r="K147" s="1"/>
  <c r="L144" s="1"/>
  <c r="M144" s="1"/>
  <c r="R32"/>
  <c r="T32" s="1"/>
  <c r="W32" s="1"/>
  <c r="Z31" s="1"/>
  <c r="AA31" s="1"/>
  <c r="AB31" s="1"/>
  <c r="S193"/>
  <c r="T193" s="1"/>
  <c r="X193" s="1"/>
  <c r="R24"/>
  <c r="T24" s="1"/>
  <c r="W24" s="1"/>
  <c r="Z23" s="1"/>
  <c r="AA23" s="1"/>
  <c r="D193"/>
  <c r="E193" s="1"/>
  <c r="I193" s="1"/>
  <c r="K193" s="1"/>
  <c r="L190" s="1"/>
  <c r="M190" s="1"/>
  <c r="S202"/>
  <c r="T202" s="1"/>
  <c r="X202" s="1"/>
  <c r="D21" i="3"/>
  <c r="C18" i="11" s="1"/>
  <c r="D12" i="13"/>
  <c r="C23" i="3"/>
  <c r="E12"/>
  <c r="E11"/>
  <c r="F11" s="1"/>
  <c r="C22"/>
  <c r="E11" i="13"/>
  <c r="E14" i="3"/>
  <c r="D25" s="1"/>
  <c r="C22" i="11" s="1"/>
  <c r="E13" i="3"/>
  <c r="D24" s="1"/>
  <c r="C21" i="11" s="1"/>
  <c r="C24" i="3"/>
  <c r="E9"/>
  <c r="C20"/>
  <c r="J23" i="13"/>
  <c r="D23"/>
  <c r="D20"/>
  <c r="B23" i="3"/>
  <c r="B20"/>
  <c r="D10" i="13"/>
  <c r="B22" i="3"/>
  <c r="B24" i="13"/>
  <c r="J10"/>
  <c r="D25"/>
  <c r="E8" i="3"/>
  <c r="H5" i="5"/>
  <c r="C76" i="17" s="1"/>
  <c r="E70" i="18"/>
  <c r="S70"/>
  <c r="F37"/>
  <c r="N17"/>
  <c r="N20" s="1"/>
  <c r="L70"/>
  <c r="L73" s="1"/>
  <c r="E71"/>
  <c r="N26"/>
  <c r="E70" i="6"/>
  <c r="E71"/>
  <c r="F57"/>
  <c r="F60" s="1"/>
  <c r="N7"/>
  <c r="L70"/>
  <c r="L73" s="1"/>
  <c r="F27"/>
  <c r="S70"/>
  <c r="F16"/>
  <c r="N27"/>
  <c r="E36" i="18"/>
  <c r="E40" s="1"/>
  <c r="E37"/>
  <c r="M17"/>
  <c r="K70"/>
  <c r="K73" s="1"/>
  <c r="K75" s="1"/>
  <c r="E16"/>
  <c r="E57"/>
  <c r="E17"/>
  <c r="E26"/>
  <c r="R70"/>
  <c r="D70"/>
  <c r="D71"/>
  <c r="K70" i="6"/>
  <c r="R70"/>
  <c r="R73" s="1"/>
  <c r="M26" i="18"/>
  <c r="M58"/>
  <c r="K72" i="6"/>
  <c r="F7"/>
  <c r="F10" s="1"/>
  <c r="N46"/>
  <c r="N50" s="1"/>
  <c r="N37"/>
  <c r="E8" i="18"/>
  <c r="G84"/>
  <c r="M9"/>
  <c r="M19"/>
  <c r="E38"/>
  <c r="F57"/>
  <c r="F60" s="1"/>
  <c r="R71"/>
  <c r="F26"/>
  <c r="K72"/>
  <c r="N17" i="6"/>
  <c r="N20" s="1"/>
  <c r="H6" i="5"/>
  <c r="E56" i="18"/>
  <c r="M70"/>
  <c r="O17"/>
  <c r="F17" i="6"/>
  <c r="N36"/>
  <c r="N40" s="1"/>
  <c r="D32" i="17"/>
  <c r="J32" s="1"/>
  <c r="D87"/>
  <c r="N6" i="18"/>
  <c r="N10" s="1"/>
  <c r="E9"/>
  <c r="M18"/>
  <c r="O27"/>
  <c r="G37"/>
  <c r="O46"/>
  <c r="T70"/>
  <c r="E18"/>
  <c r="G17"/>
  <c r="G36"/>
  <c r="E7" i="5"/>
  <c r="E47" i="18" s="1"/>
  <c r="F37" i="6"/>
  <c r="G7" i="18"/>
  <c r="E28"/>
  <c r="E30" s="1"/>
  <c r="E48"/>
  <c r="F36" i="6"/>
  <c r="F40" s="1"/>
  <c r="D42" i="17"/>
  <c r="E27" i="18"/>
  <c r="N36"/>
  <c r="M46"/>
  <c r="M50" s="1"/>
  <c r="M52" s="1"/>
  <c r="D34" i="7" s="1"/>
  <c r="G75" i="16" s="1"/>
  <c r="F71" i="18"/>
  <c r="F46"/>
  <c r="N26" i="6"/>
  <c r="D60" i="17"/>
  <c r="J60" s="1"/>
  <c r="F17" i="18"/>
  <c r="F70"/>
  <c r="R72"/>
  <c r="N6" i="6"/>
  <c r="F26"/>
  <c r="F46"/>
  <c r="F50" s="1"/>
  <c r="D51" i="17"/>
  <c r="D68"/>
  <c r="D76"/>
  <c r="J76" s="1"/>
  <c r="M7" i="18"/>
  <c r="G16"/>
  <c r="M28"/>
  <c r="M48"/>
  <c r="M57"/>
  <c r="M60" s="1"/>
  <c r="E84"/>
  <c r="AD118" i="14"/>
  <c r="AH116"/>
  <c r="AF116"/>
  <c r="AD104"/>
  <c r="AJ118"/>
  <c r="AJ104"/>
  <c r="L111"/>
  <c r="R114"/>
  <c r="S73" i="6"/>
  <c r="R73" i="18"/>
  <c r="S73"/>
  <c r="M37"/>
  <c r="N37"/>
  <c r="O37"/>
  <c r="O57"/>
  <c r="M6"/>
  <c r="F16"/>
  <c r="G26"/>
  <c r="N27"/>
  <c r="M36"/>
  <c r="E46"/>
  <c r="G57"/>
  <c r="F83"/>
  <c r="F85" s="1"/>
  <c r="N57"/>
  <c r="N60" s="1"/>
  <c r="E7"/>
  <c r="M27"/>
  <c r="E83"/>
  <c r="M62"/>
  <c r="D26" i="7" s="1"/>
  <c r="F7" i="18"/>
  <c r="G56"/>
  <c r="N46"/>
  <c r="N50" s="1"/>
  <c r="F56"/>
  <c r="O7"/>
  <c r="N7"/>
  <c r="G27"/>
  <c r="F36"/>
  <c r="O6"/>
  <c r="F27"/>
  <c r="O36"/>
  <c r="G46"/>
  <c r="G83"/>
  <c r="F50"/>
  <c r="E20"/>
  <c r="G6"/>
  <c r="F6"/>
  <c r="G47"/>
  <c r="N8" i="17"/>
  <c r="J6"/>
  <c r="J15"/>
  <c r="I76"/>
  <c r="J68"/>
  <c r="J33"/>
  <c r="J24"/>
  <c r="J50"/>
  <c r="J69"/>
  <c r="J42"/>
  <c r="J51"/>
  <c r="J87"/>
  <c r="J78"/>
  <c r="J86"/>
  <c r="D97" i="4"/>
  <c r="B10" i="5"/>
  <c r="E10" s="1"/>
  <c r="H10" s="1"/>
  <c r="D87" i="4"/>
  <c r="J6" i="5"/>
  <c r="S10" i="4"/>
  <c r="S11" s="1"/>
  <c r="M49" i="6"/>
  <c r="M9"/>
  <c r="E9"/>
  <c r="J4" i="5"/>
  <c r="G12" i="8" s="1"/>
  <c r="J12" s="1"/>
  <c r="J11" i="5"/>
  <c r="F20" i="6"/>
  <c r="E12" i="5"/>
  <c r="H12" s="1"/>
  <c r="G6" i="6"/>
  <c r="R85" i="8"/>
  <c r="G83" i="6"/>
  <c r="G62" i="8"/>
  <c r="G47" i="6"/>
  <c r="R110" i="8"/>
  <c r="R134"/>
  <c r="U134" s="1"/>
  <c r="G109"/>
  <c r="R14"/>
  <c r="G158"/>
  <c r="G134"/>
  <c r="J134" s="1"/>
  <c r="R109"/>
  <c r="U109" s="1"/>
  <c r="G86"/>
  <c r="G159"/>
  <c r="R135"/>
  <c r="G110"/>
  <c r="G85"/>
  <c r="J85" s="1"/>
  <c r="G61"/>
  <c r="J61" s="1"/>
  <c r="G84" i="6"/>
  <c r="R86" i="8"/>
  <c r="R62"/>
  <c r="U62" s="1"/>
  <c r="R61"/>
  <c r="U61" s="1"/>
  <c r="G13"/>
  <c r="J13" s="1"/>
  <c r="R37"/>
  <c r="G37"/>
  <c r="R38"/>
  <c r="G135"/>
  <c r="G14"/>
  <c r="J14" s="1"/>
  <c r="R13"/>
  <c r="U13" s="1"/>
  <c r="G38"/>
  <c r="H8" i="5"/>
  <c r="E56" i="6"/>
  <c r="M57"/>
  <c r="F70"/>
  <c r="G37"/>
  <c r="R36" i="8"/>
  <c r="U36" s="1"/>
  <c r="G84"/>
  <c r="J84" s="1"/>
  <c r="R12"/>
  <c r="U12" s="1"/>
  <c r="R60"/>
  <c r="U60" s="1"/>
  <c r="G157"/>
  <c r="J157" s="1"/>
  <c r="G133"/>
  <c r="J133" s="1"/>
  <c r="G46" i="6"/>
  <c r="O6"/>
  <c r="O36"/>
  <c r="M48"/>
  <c r="E28"/>
  <c r="H9" i="5"/>
  <c r="E48" i="6"/>
  <c r="E38"/>
  <c r="M58"/>
  <c r="M18"/>
  <c r="M28"/>
  <c r="E8"/>
  <c r="E84"/>
  <c r="E18"/>
  <c r="H7" i="5"/>
  <c r="H11"/>
  <c r="J8"/>
  <c r="R112" i="8"/>
  <c r="U112" s="1"/>
  <c r="G137"/>
  <c r="J137" s="1"/>
  <c r="J9" i="5"/>
  <c r="E49" i="6"/>
  <c r="M19"/>
  <c r="O49"/>
  <c r="G16" i="8"/>
  <c r="J16" s="1"/>
  <c r="G161"/>
  <c r="J161" s="1"/>
  <c r="G40"/>
  <c r="J42" s="1"/>
  <c r="G64"/>
  <c r="J64" s="1"/>
  <c r="R137"/>
  <c r="U137" s="1"/>
  <c r="G112"/>
  <c r="G49" i="6"/>
  <c r="O19"/>
  <c r="R64" i="8"/>
  <c r="U64" s="1"/>
  <c r="R123" i="12"/>
  <c r="T123" s="1"/>
  <c r="W123" s="1"/>
  <c r="Z122" s="1"/>
  <c r="R163"/>
  <c r="R217"/>
  <c r="R171"/>
  <c r="R209"/>
  <c r="S117"/>
  <c r="T117" s="1"/>
  <c r="X117" s="1"/>
  <c r="Z117" s="1"/>
  <c r="AA114" s="1"/>
  <c r="AB114" s="1"/>
  <c r="T125"/>
  <c r="X125" s="1"/>
  <c r="Z125" s="1"/>
  <c r="AA122" s="1"/>
  <c r="AB122" s="1"/>
  <c r="S125"/>
  <c r="AB11" i="14"/>
  <c r="AL11"/>
  <c r="S80" i="12"/>
  <c r="T80" s="1"/>
  <c r="X80" s="1"/>
  <c r="R72"/>
  <c r="R81"/>
  <c r="R70"/>
  <c r="T70" s="1"/>
  <c r="W70" s="1"/>
  <c r="Z69" s="1"/>
  <c r="R93" i="14" l="1"/>
  <c r="R79"/>
  <c r="L86"/>
  <c r="N91"/>
  <c r="D83"/>
  <c r="D79"/>
  <c r="H91"/>
  <c r="R89"/>
  <c r="D93"/>
  <c r="R83"/>
  <c r="R86"/>
  <c r="D89"/>
  <c r="J86"/>
  <c r="N81"/>
  <c r="D86"/>
  <c r="H81"/>
  <c r="L31" i="12"/>
  <c r="M31" s="1"/>
  <c r="M36" s="1"/>
  <c r="R118" i="14"/>
  <c r="D118"/>
  <c r="AA106" i="12"/>
  <c r="AB106" s="1"/>
  <c r="AN61" i="14" s="1"/>
  <c r="D108"/>
  <c r="T108" s="1"/>
  <c r="V108" s="1"/>
  <c r="R108"/>
  <c r="Z193" i="12"/>
  <c r="AA190" s="1"/>
  <c r="AB190" s="1"/>
  <c r="AJ6" i="14"/>
  <c r="H106"/>
  <c r="N116"/>
  <c r="D111"/>
  <c r="L6"/>
  <c r="AH16"/>
  <c r="R104"/>
  <c r="N106"/>
  <c r="L69" i="12"/>
  <c r="M69" s="1"/>
  <c r="F36" i="14" s="1"/>
  <c r="J16"/>
  <c r="AJ18"/>
  <c r="AD6"/>
  <c r="AD21" s="1"/>
  <c r="L23" i="12"/>
  <c r="M23" s="1"/>
  <c r="AA15"/>
  <c r="AB15" s="1"/>
  <c r="AA85"/>
  <c r="AB85" s="1"/>
  <c r="AJ43" i="14" s="1"/>
  <c r="D104"/>
  <c r="R111"/>
  <c r="AB23" i="12"/>
  <c r="L15"/>
  <c r="M15" s="1"/>
  <c r="H116" i="14"/>
  <c r="J111"/>
  <c r="AD79"/>
  <c r="AD93"/>
  <c r="AJ93"/>
  <c r="AH91"/>
  <c r="AF91"/>
  <c r="AJ79"/>
  <c r="J81"/>
  <c r="L81"/>
  <c r="M173" i="12"/>
  <c r="L91" i="14"/>
  <c r="J91"/>
  <c r="J116"/>
  <c r="L116"/>
  <c r="M219" i="12"/>
  <c r="G6" i="13" s="1"/>
  <c r="H6" s="1"/>
  <c r="L106" i="14"/>
  <c r="J106"/>
  <c r="AJ91"/>
  <c r="AF86"/>
  <c r="AH86"/>
  <c r="Z79"/>
  <c r="Z93"/>
  <c r="AD91"/>
  <c r="AN93"/>
  <c r="AN79"/>
  <c r="AJ81"/>
  <c r="AD81"/>
  <c r="F114"/>
  <c r="N104"/>
  <c r="H104"/>
  <c r="P114"/>
  <c r="H118"/>
  <c r="P108"/>
  <c r="N118"/>
  <c r="F108"/>
  <c r="AN89"/>
  <c r="Z83"/>
  <c r="Z86"/>
  <c r="Z89"/>
  <c r="AN83"/>
  <c r="AN86"/>
  <c r="AN64"/>
  <c r="Z61"/>
  <c r="AJ68"/>
  <c r="AF66"/>
  <c r="AH66"/>
  <c r="AD68"/>
  <c r="AD54"/>
  <c r="AJ54"/>
  <c r="P86"/>
  <c r="F86"/>
  <c r="T86" s="1"/>
  <c r="AD31"/>
  <c r="AF36"/>
  <c r="AD41"/>
  <c r="AJ31"/>
  <c r="AJ41"/>
  <c r="AN29"/>
  <c r="AN43"/>
  <c r="Z29"/>
  <c r="Z43"/>
  <c r="AH36"/>
  <c r="AB44" i="12"/>
  <c r="AC45" s="1"/>
  <c r="AD116" i="14"/>
  <c r="AN104"/>
  <c r="AB8"/>
  <c r="AH111"/>
  <c r="AB14"/>
  <c r="AB21" s="1"/>
  <c r="P111"/>
  <c r="AA198" i="12"/>
  <c r="AB198" s="1"/>
  <c r="AL14" i="14"/>
  <c r="AN118"/>
  <c r="AJ29"/>
  <c r="AD29"/>
  <c r="AF41"/>
  <c r="AH41"/>
  <c r="AD43"/>
  <c r="H93"/>
  <c r="F83"/>
  <c r="F89"/>
  <c r="T89" s="1"/>
  <c r="P89"/>
  <c r="N79"/>
  <c r="N93"/>
  <c r="H79"/>
  <c r="P83"/>
  <c r="AL8"/>
  <c r="AD66"/>
  <c r="AN54"/>
  <c r="AF61"/>
  <c r="AH61"/>
  <c r="AN68"/>
  <c r="AJ66"/>
  <c r="Z54"/>
  <c r="AJ56"/>
  <c r="Z68"/>
  <c r="AD56"/>
  <c r="H54"/>
  <c r="F58"/>
  <c r="H68"/>
  <c r="F64"/>
  <c r="P58"/>
  <c r="P64"/>
  <c r="N68"/>
  <c r="N54"/>
  <c r="R61"/>
  <c r="D68"/>
  <c r="R68"/>
  <c r="R64"/>
  <c r="H56"/>
  <c r="H66"/>
  <c r="L61"/>
  <c r="J61"/>
  <c r="D54"/>
  <c r="N66"/>
  <c r="D58"/>
  <c r="R54"/>
  <c r="D61"/>
  <c r="R58"/>
  <c r="D64"/>
  <c r="N56"/>
  <c r="N31"/>
  <c r="D36"/>
  <c r="H41"/>
  <c r="H31"/>
  <c r="N41"/>
  <c r="D39"/>
  <c r="D43"/>
  <c r="J36"/>
  <c r="R33"/>
  <c r="L36"/>
  <c r="R36"/>
  <c r="R39"/>
  <c r="D29"/>
  <c r="R43"/>
  <c r="D33"/>
  <c r="R29"/>
  <c r="K114" i="12"/>
  <c r="L114" s="1"/>
  <c r="M114" s="1"/>
  <c r="M127" s="1"/>
  <c r="Z39" i="14"/>
  <c r="AN36"/>
  <c r="AN33"/>
  <c r="Z33"/>
  <c r="Z36"/>
  <c r="AN39"/>
  <c r="N29"/>
  <c r="P33"/>
  <c r="N43"/>
  <c r="P39"/>
  <c r="H29"/>
  <c r="F33"/>
  <c r="F39"/>
  <c r="H43"/>
  <c r="L66"/>
  <c r="J66"/>
  <c r="J56"/>
  <c r="L56"/>
  <c r="K53" i="12"/>
  <c r="L53" s="1"/>
  <c r="M53" s="1"/>
  <c r="E22" i="3"/>
  <c r="C67" i="11"/>
  <c r="F8" i="3"/>
  <c r="D19"/>
  <c r="C16" i="11" s="1"/>
  <c r="F9" i="3"/>
  <c r="D23"/>
  <c r="C20" i="11" s="1"/>
  <c r="F13" i="3"/>
  <c r="E8" i="13"/>
  <c r="E6"/>
  <c r="F6" s="1"/>
  <c r="D24"/>
  <c r="J24"/>
  <c r="D22" i="3"/>
  <c r="C19" i="11" s="1"/>
  <c r="F12" i="3"/>
  <c r="D20"/>
  <c r="C17" i="11" s="1"/>
  <c r="F10" i="3"/>
  <c r="E10" i="13"/>
  <c r="E9"/>
  <c r="E12"/>
  <c r="D26"/>
  <c r="E26" s="1"/>
  <c r="E7"/>
  <c r="E25"/>
  <c r="B26"/>
  <c r="J17" s="1"/>
  <c r="E23" s="1"/>
  <c r="M20" i="18"/>
  <c r="N30" i="6"/>
  <c r="F40" i="18"/>
  <c r="E42" s="1"/>
  <c r="D32" i="7" s="1"/>
  <c r="M289" i="16" s="1"/>
  <c r="G87" i="18"/>
  <c r="A322" i="16" s="1"/>
  <c r="M30" i="18"/>
  <c r="N10" i="6"/>
  <c r="E73" i="18"/>
  <c r="E85"/>
  <c r="N30"/>
  <c r="F30" i="6"/>
  <c r="F30" i="18"/>
  <c r="E32" s="1"/>
  <c r="D29" i="7" s="1"/>
  <c r="A64" i="16" s="1"/>
  <c r="O32" i="18"/>
  <c r="E30" i="7" s="1"/>
  <c r="A130" i="16"/>
  <c r="A174"/>
  <c r="A141"/>
  <c r="A185"/>
  <c r="C60" i="17"/>
  <c r="I60" s="1"/>
  <c r="C42"/>
  <c r="I42" s="1"/>
  <c r="C24"/>
  <c r="I24" s="1"/>
  <c r="C78"/>
  <c r="I78" s="1"/>
  <c r="C6"/>
  <c r="I6" s="1"/>
  <c r="D72" i="6"/>
  <c r="E58"/>
  <c r="G17"/>
  <c r="G108" i="8"/>
  <c r="J108" s="1"/>
  <c r="G26" i="6"/>
  <c r="O27"/>
  <c r="M32" i="18"/>
  <c r="D30" i="7" s="1"/>
  <c r="C64" i="16" s="1"/>
  <c r="R75" i="6"/>
  <c r="E73"/>
  <c r="E83"/>
  <c r="E6"/>
  <c r="C31" i="17"/>
  <c r="I31" s="1"/>
  <c r="C48"/>
  <c r="I48" s="1"/>
  <c r="C13"/>
  <c r="I13" s="1"/>
  <c r="C67"/>
  <c r="I67" s="1"/>
  <c r="C98"/>
  <c r="I98" s="1"/>
  <c r="C84"/>
  <c r="I84" s="1"/>
  <c r="C49"/>
  <c r="I49" s="1"/>
  <c r="C85"/>
  <c r="I85" s="1"/>
  <c r="C30"/>
  <c r="I30" s="1"/>
  <c r="C12"/>
  <c r="I12" s="1"/>
  <c r="C66"/>
  <c r="I66" s="1"/>
  <c r="R84" i="8"/>
  <c r="U84" s="1"/>
  <c r="D40" i="17"/>
  <c r="J40" s="1"/>
  <c r="D22"/>
  <c r="J22" s="1"/>
  <c r="T70" i="6"/>
  <c r="D58" i="17"/>
  <c r="J58" s="1"/>
  <c r="D4"/>
  <c r="J4" s="1"/>
  <c r="M70" i="6"/>
  <c r="D61" i="17"/>
  <c r="J61" s="1"/>
  <c r="D25"/>
  <c r="J25" s="1"/>
  <c r="D79"/>
  <c r="J79" s="1"/>
  <c r="D43"/>
  <c r="J43" s="1"/>
  <c r="T71" i="18"/>
  <c r="D7" i="17"/>
  <c r="J7" s="1"/>
  <c r="T71" i="6"/>
  <c r="R88" i="8"/>
  <c r="O19" i="18"/>
  <c r="D85" i="17"/>
  <c r="J85" s="1"/>
  <c r="D12"/>
  <c r="J12" s="1"/>
  <c r="D49"/>
  <c r="J49" s="1"/>
  <c r="D98"/>
  <c r="J98" s="1"/>
  <c r="D66"/>
  <c r="J66" s="1"/>
  <c r="D48"/>
  <c r="J48" s="1"/>
  <c r="O49" i="18"/>
  <c r="D13" i="17"/>
  <c r="J13" s="1"/>
  <c r="D67"/>
  <c r="J67" s="1"/>
  <c r="D30"/>
  <c r="J30" s="1"/>
  <c r="G9" i="18"/>
  <c r="D84" i="17"/>
  <c r="J84" s="1"/>
  <c r="D31"/>
  <c r="J31" s="1"/>
  <c r="G49" i="18"/>
  <c r="D95" i="17"/>
  <c r="J95" s="1"/>
  <c r="D23"/>
  <c r="J23" s="1"/>
  <c r="D5"/>
  <c r="J5" s="1"/>
  <c r="D41"/>
  <c r="J41" s="1"/>
  <c r="D59"/>
  <c r="J59" s="1"/>
  <c r="D77"/>
  <c r="J77" s="1"/>
  <c r="D94"/>
  <c r="J94" s="1"/>
  <c r="N40" i="18"/>
  <c r="R108" i="8"/>
  <c r="U108" s="1"/>
  <c r="F71" i="6"/>
  <c r="O17"/>
  <c r="E50" i="18"/>
  <c r="E52" s="1"/>
  <c r="D35" i="7" s="1"/>
  <c r="A97" i="16" s="1"/>
  <c r="C86" i="17"/>
  <c r="I86" s="1"/>
  <c r="C87"/>
  <c r="I87" s="1"/>
  <c r="C32"/>
  <c r="I32" s="1"/>
  <c r="C15"/>
  <c r="I15" s="1"/>
  <c r="C50"/>
  <c r="I50" s="1"/>
  <c r="C14"/>
  <c r="I14" s="1"/>
  <c r="C68"/>
  <c r="I68" s="1"/>
  <c r="C51"/>
  <c r="I51" s="1"/>
  <c r="C33"/>
  <c r="I33" s="1"/>
  <c r="C69"/>
  <c r="I69" s="1"/>
  <c r="G421" i="16"/>
  <c r="K73" i="6"/>
  <c r="K75" s="1"/>
  <c r="G36"/>
  <c r="E47"/>
  <c r="O7"/>
  <c r="R133" i="8"/>
  <c r="U133" s="1"/>
  <c r="G57" i="6"/>
  <c r="F10" i="18"/>
  <c r="M38" i="6"/>
  <c r="E58" i="18"/>
  <c r="E60" s="1"/>
  <c r="E62" s="1"/>
  <c r="D31" i="7" s="1"/>
  <c r="E64" i="16" s="1"/>
  <c r="D72" i="18"/>
  <c r="D73" s="1"/>
  <c r="M8"/>
  <c r="M10" s="1"/>
  <c r="M12" s="1"/>
  <c r="D28" i="7" s="1"/>
  <c r="M38" i="18"/>
  <c r="M40" s="1"/>
  <c r="M42" s="1"/>
  <c r="D33" i="7" s="1"/>
  <c r="C79" i="17"/>
  <c r="I79" s="1"/>
  <c r="C43"/>
  <c r="I43" s="1"/>
  <c r="C25"/>
  <c r="I25" s="1"/>
  <c r="C7"/>
  <c r="I7" s="1"/>
  <c r="C61"/>
  <c r="I61" s="1"/>
  <c r="G38" i="18"/>
  <c r="G42" s="1"/>
  <c r="E32" i="7" s="1"/>
  <c r="A289" i="16" s="1"/>
  <c r="O48" i="18"/>
  <c r="O52" s="1"/>
  <c r="E34" i="7" s="1"/>
  <c r="O28" i="18"/>
  <c r="G8"/>
  <c r="O58"/>
  <c r="O62" s="1"/>
  <c r="E26" i="7" s="1"/>
  <c r="G18" i="18"/>
  <c r="G22" s="1"/>
  <c r="E27" i="7" s="1"/>
  <c r="O18" i="18"/>
  <c r="O22" s="1"/>
  <c r="E25" i="7" s="1"/>
  <c r="G48" i="18"/>
  <c r="G52" s="1"/>
  <c r="E35" i="7" s="1"/>
  <c r="G28" i="18"/>
  <c r="G32" s="1"/>
  <c r="E29" i="7" s="1"/>
  <c r="C77" i="17"/>
  <c r="I77" s="1"/>
  <c r="C94"/>
  <c r="I94" s="1"/>
  <c r="C23"/>
  <c r="I23" s="1"/>
  <c r="C59"/>
  <c r="I59" s="1"/>
  <c r="C5"/>
  <c r="I5" s="1"/>
  <c r="C95"/>
  <c r="I95" s="1"/>
  <c r="C41"/>
  <c r="I41" s="1"/>
  <c r="M22" i="18"/>
  <c r="D25" i="7" s="1"/>
  <c r="A31" i="16" s="1"/>
  <c r="E6" i="18"/>
  <c r="E10" s="1"/>
  <c r="E12" s="1"/>
  <c r="D24" i="7" s="1"/>
  <c r="G7" i="6"/>
  <c r="G12" i="18"/>
  <c r="E24" i="7" s="1"/>
  <c r="E85" i="6"/>
  <c r="E87" s="1"/>
  <c r="O46"/>
  <c r="G16"/>
  <c r="O37"/>
  <c r="G60" i="8"/>
  <c r="J60" s="1"/>
  <c r="F20" i="18"/>
  <c r="E22" s="1"/>
  <c r="T114" i="14"/>
  <c r="U114" s="1"/>
  <c r="A245" i="16"/>
  <c r="E245"/>
  <c r="R75" i="18"/>
  <c r="G64" i="16"/>
  <c r="I64"/>
  <c r="E75"/>
  <c r="E87" i="18"/>
  <c r="I75" i="16"/>
  <c r="M8" i="6"/>
  <c r="C9" i="17"/>
  <c r="I9" s="1"/>
  <c r="C81"/>
  <c r="I81" s="1"/>
  <c r="C45"/>
  <c r="I45" s="1"/>
  <c r="C27"/>
  <c r="I27" s="1"/>
  <c r="C63"/>
  <c r="I63" s="1"/>
  <c r="I26"/>
  <c r="C8"/>
  <c r="I8" s="1"/>
  <c r="C26"/>
  <c r="C96"/>
  <c r="I96" s="1"/>
  <c r="C80"/>
  <c r="I80" s="1"/>
  <c r="C44"/>
  <c r="I44" s="1"/>
  <c r="C62"/>
  <c r="I62" s="1"/>
  <c r="D26"/>
  <c r="J26" s="1"/>
  <c r="D96"/>
  <c r="J96" s="1"/>
  <c r="D44"/>
  <c r="J44" s="1"/>
  <c r="D8"/>
  <c r="J8" s="1"/>
  <c r="D62"/>
  <c r="J62" s="1"/>
  <c r="D80"/>
  <c r="J80" s="1"/>
  <c r="J10" i="5"/>
  <c r="M60" i="6"/>
  <c r="M62" s="1"/>
  <c r="D7" i="7" s="1"/>
  <c r="C31" i="16" s="1"/>
  <c r="G36" i="8"/>
  <c r="J36" s="1"/>
  <c r="G27" i="6"/>
  <c r="O26"/>
  <c r="O32" s="1"/>
  <c r="E11" i="7" s="1"/>
  <c r="G9" i="6"/>
  <c r="R40" i="8"/>
  <c r="U40" s="1"/>
  <c r="R16"/>
  <c r="U16" s="1"/>
  <c r="G88"/>
  <c r="J88" s="1"/>
  <c r="E17" i="6"/>
  <c r="E36"/>
  <c r="H4" i="5"/>
  <c r="M46" i="6"/>
  <c r="M50" s="1"/>
  <c r="M52" s="1"/>
  <c r="D15" i="7" s="1"/>
  <c r="M6" i="6"/>
  <c r="M26"/>
  <c r="M36"/>
  <c r="E26"/>
  <c r="E46"/>
  <c r="E7"/>
  <c r="D71"/>
  <c r="M37"/>
  <c r="M27"/>
  <c r="E16"/>
  <c r="E37"/>
  <c r="M17"/>
  <c r="M20" s="1"/>
  <c r="M22" s="1"/>
  <c r="D6" i="7" s="1"/>
  <c r="E27" i="6"/>
  <c r="D70"/>
  <c r="M7"/>
  <c r="E57"/>
  <c r="Q134" i="8"/>
  <c r="T134" s="1"/>
  <c r="F109"/>
  <c r="Q14"/>
  <c r="F110"/>
  <c r="F85"/>
  <c r="I85" s="1"/>
  <c r="Q13"/>
  <c r="T13" s="1"/>
  <c r="F135"/>
  <c r="Q62"/>
  <c r="T62" s="1"/>
  <c r="Q85"/>
  <c r="F61"/>
  <c r="I61" s="1"/>
  <c r="Q135"/>
  <c r="F13"/>
  <c r="I13" s="1"/>
  <c r="F159"/>
  <c r="F14"/>
  <c r="I14" s="1"/>
  <c r="Q86"/>
  <c r="Q61"/>
  <c r="T61" s="1"/>
  <c r="Q37"/>
  <c r="F158"/>
  <c r="F134"/>
  <c r="I134" s="1"/>
  <c r="Q109"/>
  <c r="T109" s="1"/>
  <c r="F86"/>
  <c r="F62"/>
  <c r="F37"/>
  <c r="Q38"/>
  <c r="Q110"/>
  <c r="F38"/>
  <c r="G139"/>
  <c r="R139"/>
  <c r="G90"/>
  <c r="G66"/>
  <c r="R90"/>
  <c r="U90" s="1"/>
  <c r="R17"/>
  <c r="U17" s="1"/>
  <c r="G8" i="6"/>
  <c r="O58"/>
  <c r="O18"/>
  <c r="G65" i="8"/>
  <c r="J65" s="1"/>
  <c r="J67" s="1"/>
  <c r="H69" s="1"/>
  <c r="H70" s="1"/>
  <c r="O28" i="6"/>
  <c r="R89" i="8"/>
  <c r="U89" s="1"/>
  <c r="U91" s="1"/>
  <c r="S93" s="1"/>
  <c r="S94" s="1"/>
  <c r="O48" i="6"/>
  <c r="G18"/>
  <c r="R41" i="8"/>
  <c r="U41" s="1"/>
  <c r="G48" i="6"/>
  <c r="G52" s="1"/>
  <c r="E16" i="7" s="1"/>
  <c r="R113" i="8"/>
  <c r="U113" s="1"/>
  <c r="G41"/>
  <c r="J40" s="1"/>
  <c r="G28" i="6"/>
  <c r="R138" i="8"/>
  <c r="U138" s="1"/>
  <c r="U140" s="1"/>
  <c r="S142" s="1"/>
  <c r="S143" s="1"/>
  <c r="G89"/>
  <c r="J89" s="1"/>
  <c r="R65"/>
  <c r="U65" s="1"/>
  <c r="U67" s="1"/>
  <c r="S69" s="1"/>
  <c r="S70" s="1"/>
  <c r="S71" s="1"/>
  <c r="G38" i="6"/>
  <c r="G42" s="1"/>
  <c r="E13" i="7" s="1"/>
  <c r="G113" i="8"/>
  <c r="J113" s="1"/>
  <c r="G138"/>
  <c r="J138" s="1"/>
  <c r="J140" s="1"/>
  <c r="H142" s="1"/>
  <c r="H143" s="1"/>
  <c r="H144" s="1"/>
  <c r="G17"/>
  <c r="J17" s="1"/>
  <c r="J19" s="1"/>
  <c r="H21" s="1"/>
  <c r="H22" s="1"/>
  <c r="G162"/>
  <c r="J162" s="1"/>
  <c r="F66"/>
  <c r="Q42"/>
  <c r="F139"/>
  <c r="F163"/>
  <c r="I163" s="1"/>
  <c r="Q18"/>
  <c r="Q139"/>
  <c r="Q114"/>
  <c r="F114"/>
  <c r="I114" s="1"/>
  <c r="F18"/>
  <c r="Q90"/>
  <c r="T90" s="1"/>
  <c r="F42"/>
  <c r="I41" s="1"/>
  <c r="F90"/>
  <c r="Q66"/>
  <c r="U115"/>
  <c r="S117" s="1"/>
  <c r="S118" s="1"/>
  <c r="G87" i="6"/>
  <c r="F41" i="8"/>
  <c r="I40" s="1"/>
  <c r="F138"/>
  <c r="I138" s="1"/>
  <c r="F65"/>
  <c r="I65" s="1"/>
  <c r="Q89"/>
  <c r="T89" s="1"/>
  <c r="Q65"/>
  <c r="T65" s="1"/>
  <c r="Q17"/>
  <c r="T17" s="1"/>
  <c r="Q138"/>
  <c r="T138" s="1"/>
  <c r="F89"/>
  <c r="I89" s="1"/>
  <c r="F113"/>
  <c r="I113" s="1"/>
  <c r="F17"/>
  <c r="I17" s="1"/>
  <c r="Q41"/>
  <c r="T41" s="1"/>
  <c r="F162"/>
  <c r="I162" s="1"/>
  <c r="Q113"/>
  <c r="T113" s="1"/>
  <c r="Q137"/>
  <c r="T137" s="1"/>
  <c r="F88"/>
  <c r="I88" s="1"/>
  <c r="F16"/>
  <c r="I16" s="1"/>
  <c r="F40"/>
  <c r="I42" s="1"/>
  <c r="Q40"/>
  <c r="T40" s="1"/>
  <c r="F161"/>
  <c r="I161" s="1"/>
  <c r="F137"/>
  <c r="I137" s="1"/>
  <c r="Q112"/>
  <c r="T112" s="1"/>
  <c r="F112"/>
  <c r="Q88"/>
  <c r="F64"/>
  <c r="I64" s="1"/>
  <c r="Q16"/>
  <c r="T16" s="1"/>
  <c r="Q64"/>
  <c r="T64" s="1"/>
  <c r="F160"/>
  <c r="F136"/>
  <c r="Q111"/>
  <c r="F15"/>
  <c r="F39"/>
  <c r="Q87"/>
  <c r="F87"/>
  <c r="F63"/>
  <c r="Q15"/>
  <c r="Q63"/>
  <c r="Q39"/>
  <c r="T39" s="1"/>
  <c r="Q136"/>
  <c r="F111"/>
  <c r="I111" s="1"/>
  <c r="R39"/>
  <c r="U39" s="1"/>
  <c r="G160"/>
  <c r="G136"/>
  <c r="R111"/>
  <c r="G15"/>
  <c r="G39"/>
  <c r="O57" i="6"/>
  <c r="G111" i="8"/>
  <c r="J111" s="1"/>
  <c r="R63"/>
  <c r="G87"/>
  <c r="G63"/>
  <c r="R15"/>
  <c r="G56" i="6"/>
  <c r="R136" i="8"/>
  <c r="R87"/>
  <c r="S163" i="12"/>
  <c r="T163" s="1"/>
  <c r="X163" s="1"/>
  <c r="Z163" s="1"/>
  <c r="AA160" s="1"/>
  <c r="AB160" s="1"/>
  <c r="S217"/>
  <c r="T217" s="1"/>
  <c r="X217" s="1"/>
  <c r="Z217" s="1"/>
  <c r="AA214" s="1"/>
  <c r="AB214" s="1"/>
  <c r="S171"/>
  <c r="T171"/>
  <c r="X171" s="1"/>
  <c r="Z171" s="1"/>
  <c r="AA168" s="1"/>
  <c r="AB168" s="1"/>
  <c r="S209"/>
  <c r="T209" s="1"/>
  <c r="X209" s="1"/>
  <c r="Z209" s="1"/>
  <c r="AA206" s="1"/>
  <c r="AB206" s="1"/>
  <c r="AB58" i="14"/>
  <c r="AB64"/>
  <c r="AH56"/>
  <c r="AF56"/>
  <c r="AL58"/>
  <c r="AL64"/>
  <c r="AL61"/>
  <c r="AB61"/>
  <c r="S72" i="12"/>
  <c r="T72" s="1"/>
  <c r="X72" s="1"/>
  <c r="Z72" s="1"/>
  <c r="AA69" s="1"/>
  <c r="AB69" s="1"/>
  <c r="S81"/>
  <c r="T81" s="1"/>
  <c r="X81" s="1"/>
  <c r="Z80" s="1"/>
  <c r="AA77" s="1"/>
  <c r="AB77" s="1"/>
  <c r="T81" i="14" l="1"/>
  <c r="V81" s="1"/>
  <c r="T79"/>
  <c r="U79" s="1"/>
  <c r="T68"/>
  <c r="T111"/>
  <c r="V111" s="1"/>
  <c r="T93"/>
  <c r="U93" s="1"/>
  <c r="AJ21"/>
  <c r="AJ22" s="1"/>
  <c r="G11" i="13"/>
  <c r="N37" i="12"/>
  <c r="AD23" i="14"/>
  <c r="AD22"/>
  <c r="H18"/>
  <c r="F14"/>
  <c r="H4"/>
  <c r="P14"/>
  <c r="N4"/>
  <c r="P8"/>
  <c r="N18"/>
  <c r="F8"/>
  <c r="AJ106"/>
  <c r="AD106"/>
  <c r="AD121" s="1"/>
  <c r="AD122" s="1"/>
  <c r="AF111"/>
  <c r="Z118"/>
  <c r="Z104"/>
  <c r="AJ116"/>
  <c r="AN71"/>
  <c r="AN73" s="1"/>
  <c r="P36"/>
  <c r="T36" s="1"/>
  <c r="T83"/>
  <c r="Z58"/>
  <c r="T91"/>
  <c r="U91" s="1"/>
  <c r="AH6"/>
  <c r="AH21" s="1"/>
  <c r="AF6"/>
  <c r="AF21" s="1"/>
  <c r="N220" i="12"/>
  <c r="AJ71" i="14"/>
  <c r="AJ72" s="1"/>
  <c r="Z64"/>
  <c r="Z96"/>
  <c r="Z98" s="1"/>
  <c r="T116"/>
  <c r="AL21"/>
  <c r="AL22" s="1"/>
  <c r="AN58"/>
  <c r="T104"/>
  <c r="P11"/>
  <c r="F11"/>
  <c r="T106"/>
  <c r="U106" s="1"/>
  <c r="N6"/>
  <c r="H16"/>
  <c r="H6"/>
  <c r="L11"/>
  <c r="N16"/>
  <c r="D8"/>
  <c r="D14"/>
  <c r="T14" s="1"/>
  <c r="U14" s="1"/>
  <c r="R14"/>
  <c r="D4"/>
  <c r="R11"/>
  <c r="R18"/>
  <c r="D18"/>
  <c r="R4"/>
  <c r="R8"/>
  <c r="D11"/>
  <c r="J11"/>
  <c r="AN11"/>
  <c r="Z8"/>
  <c r="AN8"/>
  <c r="Z11"/>
  <c r="AN14"/>
  <c r="Z14"/>
  <c r="AB135" i="12"/>
  <c r="G22" i="13" s="1"/>
  <c r="AD96" i="14"/>
  <c r="V83"/>
  <c r="V91"/>
  <c r="U89"/>
  <c r="V89"/>
  <c r="U111"/>
  <c r="V106"/>
  <c r="G7" i="13"/>
  <c r="N174" i="12"/>
  <c r="AD98" i="14"/>
  <c r="AD97"/>
  <c r="J31"/>
  <c r="J41"/>
  <c r="L31"/>
  <c r="T31" s="1"/>
  <c r="L41"/>
  <c r="M82" i="12"/>
  <c r="V93" i="14"/>
  <c r="AD71"/>
  <c r="U108"/>
  <c r="T29"/>
  <c r="T56"/>
  <c r="AL71"/>
  <c r="AL73" s="1"/>
  <c r="V114"/>
  <c r="T39"/>
  <c r="T66"/>
  <c r="T33"/>
  <c r="T43"/>
  <c r="T64"/>
  <c r="F61"/>
  <c r="P61"/>
  <c r="V68"/>
  <c r="U68"/>
  <c r="T54"/>
  <c r="AJ46"/>
  <c r="AN46"/>
  <c r="AD46"/>
  <c r="AJ96"/>
  <c r="U86"/>
  <c r="V86"/>
  <c r="AJ23"/>
  <c r="G25" i="13"/>
  <c r="AH71" i="14"/>
  <c r="T58"/>
  <c r="Z46"/>
  <c r="T118"/>
  <c r="T120" s="1"/>
  <c r="N128" i="12"/>
  <c r="G8" i="13"/>
  <c r="Z114" i="14"/>
  <c r="Z111"/>
  <c r="AN108"/>
  <c r="Z108"/>
  <c r="AN111"/>
  <c r="AN114"/>
  <c r="AF71"/>
  <c r="AF72" s="1"/>
  <c r="AN96"/>
  <c r="G10" i="3"/>
  <c r="F18" i="11" s="1"/>
  <c r="E20" i="3"/>
  <c r="C48" i="11"/>
  <c r="G13" i="3"/>
  <c r="F21" i="11" s="1"/>
  <c r="E23" i="3"/>
  <c r="G67" i="11"/>
  <c r="K67"/>
  <c r="E24" i="3"/>
  <c r="C31" i="11"/>
  <c r="E21" i="13"/>
  <c r="F7"/>
  <c r="E21" i="3"/>
  <c r="G11"/>
  <c r="F19" i="11" s="1"/>
  <c r="C85"/>
  <c r="E20" i="13"/>
  <c r="F20" s="1"/>
  <c r="E22"/>
  <c r="G12" i="3"/>
  <c r="F20" i="11" s="1"/>
  <c r="E19" i="3"/>
  <c r="G9"/>
  <c r="F17" i="11" s="1"/>
  <c r="G8" i="3"/>
  <c r="F16" i="11" s="1"/>
  <c r="E24" i="13"/>
  <c r="E31" i="16"/>
  <c r="A75"/>
  <c r="M75"/>
  <c r="K289"/>
  <c r="K75"/>
  <c r="G322"/>
  <c r="E421"/>
  <c r="J99" i="17"/>
  <c r="J100" s="1"/>
  <c r="O22" i="6"/>
  <c r="E6" i="7" s="1"/>
  <c r="E250" i="16" s="1"/>
  <c r="A86"/>
  <c r="E322"/>
  <c r="E37" i="7"/>
  <c r="A421" i="16"/>
  <c r="C421"/>
  <c r="G32" i="6"/>
  <c r="E10" i="7" s="1"/>
  <c r="E50" i="6"/>
  <c r="E52" s="1"/>
  <c r="D16" i="7" s="1"/>
  <c r="A99" i="16" s="1"/>
  <c r="D75" i="18"/>
  <c r="A196" i="16" s="1"/>
  <c r="C322"/>
  <c r="I289"/>
  <c r="G289"/>
  <c r="E289"/>
  <c r="A311"/>
  <c r="A300"/>
  <c r="I278"/>
  <c r="A278"/>
  <c r="I11" i="7"/>
  <c r="C84" i="11" s="1"/>
  <c r="C281" i="16"/>
  <c r="G279"/>
  <c r="G283"/>
  <c r="G281"/>
  <c r="C282"/>
  <c r="C280"/>
  <c r="C283"/>
  <c r="G280"/>
  <c r="C279"/>
  <c r="G282"/>
  <c r="D37" i="7"/>
  <c r="A207" i="16"/>
  <c r="C207"/>
  <c r="C108"/>
  <c r="G207"/>
  <c r="G108"/>
  <c r="A108"/>
  <c r="E207"/>
  <c r="E108"/>
  <c r="A256"/>
  <c r="A267"/>
  <c r="D36" i="7"/>
  <c r="C196" i="16"/>
  <c r="G22" i="6"/>
  <c r="E8" i="7" s="1"/>
  <c r="I99" i="17"/>
  <c r="I100" s="1"/>
  <c r="I13" i="7"/>
  <c r="M291" i="16"/>
  <c r="A293"/>
  <c r="M292"/>
  <c r="M293"/>
  <c r="A290"/>
  <c r="A291"/>
  <c r="M294"/>
  <c r="A292"/>
  <c r="A294"/>
  <c r="M290"/>
  <c r="C167"/>
  <c r="C153"/>
  <c r="C157"/>
  <c r="C165"/>
  <c r="C156"/>
  <c r="C154"/>
  <c r="C168"/>
  <c r="C155"/>
  <c r="C166"/>
  <c r="C164"/>
  <c r="G278"/>
  <c r="C278"/>
  <c r="I16" i="7"/>
  <c r="A315" i="16"/>
  <c r="A301"/>
  <c r="A305"/>
  <c r="A313"/>
  <c r="A303"/>
  <c r="A302"/>
  <c r="A312"/>
  <c r="A304"/>
  <c r="A316"/>
  <c r="A314"/>
  <c r="I52" i="17"/>
  <c r="I54" s="1"/>
  <c r="D18" i="7"/>
  <c r="H18" s="1"/>
  <c r="C212" i="16"/>
  <c r="C210"/>
  <c r="C208"/>
  <c r="G111"/>
  <c r="C113"/>
  <c r="A113"/>
  <c r="E210"/>
  <c r="E208"/>
  <c r="E109"/>
  <c r="A111"/>
  <c r="A110"/>
  <c r="C211"/>
  <c r="C209"/>
  <c r="E112"/>
  <c r="C109"/>
  <c r="G211"/>
  <c r="G109"/>
  <c r="G210"/>
  <c r="E110"/>
  <c r="A211"/>
  <c r="E211"/>
  <c r="E209"/>
  <c r="E113"/>
  <c r="C110"/>
  <c r="G209"/>
  <c r="C111"/>
  <c r="G212"/>
  <c r="A209"/>
  <c r="E111"/>
  <c r="A212"/>
  <c r="A210"/>
  <c r="A208"/>
  <c r="G110"/>
  <c r="C112"/>
  <c r="A109"/>
  <c r="E212"/>
  <c r="G112"/>
  <c r="A112"/>
  <c r="G208"/>
  <c r="G113"/>
  <c r="I10" i="7"/>
  <c r="I282" i="16"/>
  <c r="A281"/>
  <c r="I283"/>
  <c r="A282"/>
  <c r="I281"/>
  <c r="A280"/>
  <c r="A279"/>
  <c r="I280"/>
  <c r="A283"/>
  <c r="I279"/>
  <c r="M72" i="6"/>
  <c r="M75" s="1"/>
  <c r="T72"/>
  <c r="T75" s="1"/>
  <c r="O8" i="18"/>
  <c r="O12" s="1"/>
  <c r="E28" i="7" s="1"/>
  <c r="F72" i="18"/>
  <c r="F75" s="1"/>
  <c r="O38"/>
  <c r="O42" s="1"/>
  <c r="E33" i="7" s="1"/>
  <c r="C289" i="16" s="1"/>
  <c r="T72" i="18"/>
  <c r="T75" s="1"/>
  <c r="G58"/>
  <c r="G62" s="1"/>
  <c r="E31" i="7" s="1"/>
  <c r="E278" i="16" s="1"/>
  <c r="M72" i="18"/>
  <c r="M75" s="1"/>
  <c r="A234" i="16"/>
  <c r="A223"/>
  <c r="E10" i="6"/>
  <c r="E12" s="1"/>
  <c r="D5" i="7" s="1"/>
  <c r="A23" i="16" s="1"/>
  <c r="I88" i="17"/>
  <c r="I90" s="1"/>
  <c r="E18" i="7"/>
  <c r="I18" s="1"/>
  <c r="K66" i="11" s="1"/>
  <c r="G425" i="16"/>
  <c r="C423"/>
  <c r="A426"/>
  <c r="E324"/>
  <c r="E326"/>
  <c r="C323"/>
  <c r="E422"/>
  <c r="C324"/>
  <c r="E323"/>
  <c r="A324"/>
  <c r="G325"/>
  <c r="G424"/>
  <c r="G423"/>
  <c r="E425"/>
  <c r="E424"/>
  <c r="C422"/>
  <c r="E325"/>
  <c r="E327"/>
  <c r="A325"/>
  <c r="E426"/>
  <c r="A326"/>
  <c r="E423"/>
  <c r="C426"/>
  <c r="C325"/>
  <c r="C327"/>
  <c r="C425"/>
  <c r="A327"/>
  <c r="A424"/>
  <c r="A423"/>
  <c r="G327"/>
  <c r="G422"/>
  <c r="G426"/>
  <c r="C424"/>
  <c r="A422"/>
  <c r="G324"/>
  <c r="G326"/>
  <c r="A323"/>
  <c r="A425"/>
  <c r="C326"/>
  <c r="G323"/>
  <c r="C4" i="17"/>
  <c r="I4" s="1"/>
  <c r="I16" s="1"/>
  <c r="C58"/>
  <c r="I58" s="1"/>
  <c r="I70" s="1"/>
  <c r="C22"/>
  <c r="I22" s="1"/>
  <c r="I34" s="1"/>
  <c r="C40"/>
  <c r="I40" s="1"/>
  <c r="C163" i="16"/>
  <c r="C152"/>
  <c r="A179"/>
  <c r="A144"/>
  <c r="A135"/>
  <c r="A146"/>
  <c r="A133"/>
  <c r="A188"/>
  <c r="A175"/>
  <c r="A132"/>
  <c r="A190"/>
  <c r="A177"/>
  <c r="A142"/>
  <c r="A189"/>
  <c r="A176"/>
  <c r="A134"/>
  <c r="A178"/>
  <c r="A143"/>
  <c r="A131"/>
  <c r="A145"/>
  <c r="A186"/>
  <c r="A187"/>
  <c r="J91" i="8"/>
  <c r="H93" s="1"/>
  <c r="H94" s="1"/>
  <c r="O52" i="6"/>
  <c r="E15" i="7" s="1"/>
  <c r="R66" i="8"/>
  <c r="E60" i="6"/>
  <c r="E62" s="1"/>
  <c r="D12" i="7" s="1"/>
  <c r="E69" i="16" s="1"/>
  <c r="C75"/>
  <c r="U104" i="14"/>
  <c r="V104"/>
  <c r="U116"/>
  <c r="V116"/>
  <c r="A98" i="16"/>
  <c r="H15" i="7"/>
  <c r="I77" i="16"/>
  <c r="E78"/>
  <c r="I80"/>
  <c r="I78"/>
  <c r="E77"/>
  <c r="G77"/>
  <c r="I79"/>
  <c r="G76"/>
  <c r="G78"/>
  <c r="G79"/>
  <c r="E76"/>
  <c r="G80"/>
  <c r="E80"/>
  <c r="I76"/>
  <c r="E79"/>
  <c r="D27" i="7"/>
  <c r="A20" i="16"/>
  <c r="A9"/>
  <c r="C32"/>
  <c r="C36"/>
  <c r="C34"/>
  <c r="C33"/>
  <c r="J27" i="17"/>
  <c r="J34" s="1"/>
  <c r="D27"/>
  <c r="D45"/>
  <c r="J45" s="1"/>
  <c r="J52" s="1"/>
  <c r="J53" s="1"/>
  <c r="D63"/>
  <c r="J63" s="1"/>
  <c r="J70" s="1"/>
  <c r="D9"/>
  <c r="J9" s="1"/>
  <c r="J16" s="1"/>
  <c r="D81"/>
  <c r="J81" s="1"/>
  <c r="J88" s="1"/>
  <c r="F72" i="6"/>
  <c r="F75" s="1"/>
  <c r="P6" i="17"/>
  <c r="R6" s="1"/>
  <c r="O10"/>
  <c r="I89"/>
  <c r="R18" i="8"/>
  <c r="G42"/>
  <c r="J41" s="1"/>
  <c r="J43" s="1"/>
  <c r="H45" s="1"/>
  <c r="H46" s="1"/>
  <c r="E6" i="10" s="1"/>
  <c r="R42" i="8"/>
  <c r="R114"/>
  <c r="O38" i="6"/>
  <c r="O42" s="1"/>
  <c r="E14" i="7" s="1"/>
  <c r="G18" i="8"/>
  <c r="G114"/>
  <c r="J114" s="1"/>
  <c r="J115" s="1"/>
  <c r="H117" s="1"/>
  <c r="H118" s="1"/>
  <c r="G58" i="6"/>
  <c r="G62" s="1"/>
  <c r="E12" i="7" s="1"/>
  <c r="O8" i="6"/>
  <c r="O12" s="1"/>
  <c r="E9" i="7" s="1"/>
  <c r="I9" s="1"/>
  <c r="G163" i="8"/>
  <c r="J163" s="1"/>
  <c r="J164" s="1"/>
  <c r="H166" s="1"/>
  <c r="H167" s="1"/>
  <c r="H168" s="1"/>
  <c r="C35" i="16"/>
  <c r="H7" i="7"/>
  <c r="G12" i="6"/>
  <c r="E5" i="7" s="1"/>
  <c r="O62" i="6"/>
  <c r="E7" i="7" s="1"/>
  <c r="U43" i="8"/>
  <c r="S45" s="1"/>
  <c r="S46" s="1"/>
  <c r="E7" i="10" s="1"/>
  <c r="E20" i="6"/>
  <c r="E22" s="1"/>
  <c r="I8" i="7" s="1"/>
  <c r="M30" i="6"/>
  <c r="M32" s="1"/>
  <c r="D11" i="7" s="1"/>
  <c r="M40" i="6"/>
  <c r="M42" s="1"/>
  <c r="D14" i="7" s="1"/>
  <c r="U19" i="8"/>
  <c r="S21" s="1"/>
  <c r="S22" s="1"/>
  <c r="S23" s="1"/>
  <c r="E30" i="6"/>
  <c r="E32" s="1"/>
  <c r="D10" i="7" s="1"/>
  <c r="H71" i="8"/>
  <c r="E8" i="10"/>
  <c r="E10"/>
  <c r="H95" i="8"/>
  <c r="E15" i="10"/>
  <c r="S144" i="8"/>
  <c r="H6" i="7"/>
  <c r="A32" i="16"/>
  <c r="E33"/>
  <c r="A34"/>
  <c r="A35"/>
  <c r="A33"/>
  <c r="E36"/>
  <c r="E32"/>
  <c r="E35"/>
  <c r="A36"/>
  <c r="E34"/>
  <c r="A12"/>
  <c r="D73" i="6"/>
  <c r="D75" s="1"/>
  <c r="E40"/>
  <c r="E42" s="1"/>
  <c r="D13" i="7" s="1"/>
  <c r="H23" i="8"/>
  <c r="E4" i="10"/>
  <c r="E13"/>
  <c r="S119" i="8"/>
  <c r="Q12"/>
  <c r="T12" s="1"/>
  <c r="T19" s="1"/>
  <c r="Q21" s="1"/>
  <c r="Q22" s="1"/>
  <c r="Q133"/>
  <c r="T133" s="1"/>
  <c r="T140" s="1"/>
  <c r="Q142" s="1"/>
  <c r="Q143" s="1"/>
  <c r="Q108"/>
  <c r="T108" s="1"/>
  <c r="T115" s="1"/>
  <c r="Q117" s="1"/>
  <c r="Q118" s="1"/>
  <c r="F108"/>
  <c r="I108" s="1"/>
  <c r="I115" s="1"/>
  <c r="F117" s="1"/>
  <c r="F118" s="1"/>
  <c r="Q84"/>
  <c r="T84" s="1"/>
  <c r="T91" s="1"/>
  <c r="Q93" s="1"/>
  <c r="Q94" s="1"/>
  <c r="F60"/>
  <c r="I60" s="1"/>
  <c r="I67" s="1"/>
  <c r="F69" s="1"/>
  <c r="F70" s="1"/>
  <c r="F157"/>
  <c r="I157" s="1"/>
  <c r="I164" s="1"/>
  <c r="F166" s="1"/>
  <c r="F167" s="1"/>
  <c r="F133"/>
  <c r="I133" s="1"/>
  <c r="I140" s="1"/>
  <c r="F142" s="1"/>
  <c r="F143" s="1"/>
  <c r="F144" s="1"/>
  <c r="Q60"/>
  <c r="T60" s="1"/>
  <c r="T67" s="1"/>
  <c r="Q69" s="1"/>
  <c r="Q70" s="1"/>
  <c r="Q71" s="1"/>
  <c r="Q36"/>
  <c r="T36" s="1"/>
  <c r="T43" s="1"/>
  <c r="Q45" s="1"/>
  <c r="Q46" s="1"/>
  <c r="F36"/>
  <c r="I36" s="1"/>
  <c r="I43" s="1"/>
  <c r="F45" s="1"/>
  <c r="F46" s="1"/>
  <c r="F12"/>
  <c r="I12" s="1"/>
  <c r="I19" s="1"/>
  <c r="F21" s="1"/>
  <c r="F22" s="1"/>
  <c r="F84"/>
  <c r="I84" s="1"/>
  <c r="I91" s="1"/>
  <c r="F93" s="1"/>
  <c r="F94" s="1"/>
  <c r="S95"/>
  <c r="E11" i="10"/>
  <c r="M10" i="6"/>
  <c r="M12" s="1"/>
  <c r="D9" i="7" s="1"/>
  <c r="H9" s="1"/>
  <c r="AL111" i="14"/>
  <c r="AB111"/>
  <c r="AH81"/>
  <c r="AH96" s="1"/>
  <c r="AL89"/>
  <c r="AB83"/>
  <c r="AB89"/>
  <c r="AL83"/>
  <c r="AB181" i="12"/>
  <c r="AF81" i="14"/>
  <c r="AF96" s="1"/>
  <c r="AL86"/>
  <c r="AB86"/>
  <c r="AB108"/>
  <c r="AF106"/>
  <c r="AB227" i="12"/>
  <c r="AB114" i="14"/>
  <c r="AH106"/>
  <c r="AH121" s="1"/>
  <c r="AL114"/>
  <c r="AL108"/>
  <c r="AC136" i="12"/>
  <c r="AH73" i="14"/>
  <c r="AH72"/>
  <c r="AB71"/>
  <c r="AL39"/>
  <c r="AF31"/>
  <c r="AF46" s="1"/>
  <c r="AF48" s="1"/>
  <c r="AB90" i="12"/>
  <c r="AC91" s="1"/>
  <c r="AL33" i="14"/>
  <c r="AB39"/>
  <c r="AB33"/>
  <c r="AH31"/>
  <c r="AH46" s="1"/>
  <c r="AH47" s="1"/>
  <c r="AB36"/>
  <c r="AL36"/>
  <c r="AB22"/>
  <c r="AB23"/>
  <c r="U81" l="1"/>
  <c r="U95" s="1"/>
  <c r="D98" s="1"/>
  <c r="AL23"/>
  <c r="AJ73"/>
  <c r="T4"/>
  <c r="T95"/>
  <c r="V79"/>
  <c r="T16"/>
  <c r="V16" s="1"/>
  <c r="Z71"/>
  <c r="AN121"/>
  <c r="Z97"/>
  <c r="AF121"/>
  <c r="AF122" s="1"/>
  <c r="H7" i="13"/>
  <c r="Z121" i="14"/>
  <c r="T61"/>
  <c r="U61" s="1"/>
  <c r="T8"/>
  <c r="V8" s="1"/>
  <c r="AF22"/>
  <c r="AF23"/>
  <c r="AJ121"/>
  <c r="G24" i="13"/>
  <c r="Z21" i="14"/>
  <c r="V14"/>
  <c r="T11"/>
  <c r="AD123"/>
  <c r="T41"/>
  <c r="U41" s="1"/>
  <c r="U8"/>
  <c r="U83"/>
  <c r="AL72"/>
  <c r="AF73"/>
  <c r="AN72"/>
  <c r="U16"/>
  <c r="AN21"/>
  <c r="T6"/>
  <c r="AH23"/>
  <c r="AH22"/>
  <c r="AH48"/>
  <c r="T18"/>
  <c r="U31"/>
  <c r="V31"/>
  <c r="Z122"/>
  <c r="Z123"/>
  <c r="V39"/>
  <c r="U39"/>
  <c r="AD47"/>
  <c r="AD48"/>
  <c r="U66"/>
  <c r="V66"/>
  <c r="AJ98"/>
  <c r="AJ97"/>
  <c r="V33"/>
  <c r="U33"/>
  <c r="U29"/>
  <c r="T45"/>
  <c r="V29"/>
  <c r="N83" i="12"/>
  <c r="G10" i="13"/>
  <c r="G9"/>
  <c r="V43" i="14"/>
  <c r="U43"/>
  <c r="AN98"/>
  <c r="AN97"/>
  <c r="V64"/>
  <c r="U64"/>
  <c r="U56"/>
  <c r="V56"/>
  <c r="V95"/>
  <c r="AL46"/>
  <c r="AL47" s="1"/>
  <c r="V118"/>
  <c r="V120" s="1"/>
  <c r="U118"/>
  <c r="U120" s="1"/>
  <c r="D123" s="1"/>
  <c r="U36"/>
  <c r="V36"/>
  <c r="T70"/>
  <c r="U54"/>
  <c r="V54"/>
  <c r="Z72"/>
  <c r="Z73"/>
  <c r="U58"/>
  <c r="V58"/>
  <c r="AJ48"/>
  <c r="AJ47"/>
  <c r="AB46"/>
  <c r="AB47" s="1"/>
  <c r="G23" i="13"/>
  <c r="Z47" i="14"/>
  <c r="Z48"/>
  <c r="AN47"/>
  <c r="AN48"/>
  <c r="AD72"/>
  <c r="AD73"/>
  <c r="C86" i="11"/>
  <c r="N84" s="1"/>
  <c r="G85"/>
  <c r="K85"/>
  <c r="G31"/>
  <c r="K31"/>
  <c r="F8" i="13"/>
  <c r="F21"/>
  <c r="F22" s="1"/>
  <c r="K68" i="11"/>
  <c r="G48"/>
  <c r="K48"/>
  <c r="H5" i="7"/>
  <c r="C47" i="11"/>
  <c r="C49" s="1"/>
  <c r="N47" s="1"/>
  <c r="A13" i="16"/>
  <c r="H12" i="7"/>
  <c r="I6"/>
  <c r="C30" i="11"/>
  <c r="C32" s="1"/>
  <c r="N30" s="1"/>
  <c r="A21" i="16"/>
  <c r="E66"/>
  <c r="A249"/>
  <c r="C66" i="11"/>
  <c r="C68" s="1"/>
  <c r="N66" s="1"/>
  <c r="A22" i="16"/>
  <c r="E65"/>
  <c r="E246"/>
  <c r="E68"/>
  <c r="A250"/>
  <c r="E67"/>
  <c r="A91"/>
  <c r="I18" i="17"/>
  <c r="I17"/>
  <c r="J101"/>
  <c r="A25" i="16"/>
  <c r="I101" i="17"/>
  <c r="A100" i="16"/>
  <c r="E249"/>
  <c r="A163"/>
  <c r="K30" i="11"/>
  <c r="K32" s="1"/>
  <c r="A101" i="16"/>
  <c r="E247"/>
  <c r="A152"/>
  <c r="A14"/>
  <c r="K84" i="11"/>
  <c r="A87" i="16"/>
  <c r="H16" i="7"/>
  <c r="A247" i="16"/>
  <c r="A119"/>
  <c r="A24"/>
  <c r="K47" i="11"/>
  <c r="J54" i="17"/>
  <c r="A102" i="16"/>
  <c r="A90"/>
  <c r="E248"/>
  <c r="A89"/>
  <c r="A11"/>
  <c r="A88"/>
  <c r="A246"/>
  <c r="A248"/>
  <c r="C119"/>
  <c r="A10"/>
  <c r="I35" i="17"/>
  <c r="I36"/>
  <c r="A390" i="16"/>
  <c r="A358"/>
  <c r="A345"/>
  <c r="A349"/>
  <c r="A400"/>
  <c r="A360"/>
  <c r="A347"/>
  <c r="A402"/>
  <c r="A389"/>
  <c r="A346"/>
  <c r="A392"/>
  <c r="A356"/>
  <c r="A403"/>
  <c r="A393"/>
  <c r="A404"/>
  <c r="A348"/>
  <c r="A391"/>
  <c r="A357"/>
  <c r="A359"/>
  <c r="A401"/>
  <c r="I72" i="17"/>
  <c r="I71"/>
  <c r="I14" i="7"/>
  <c r="C294" i="16"/>
  <c r="K290"/>
  <c r="K294"/>
  <c r="K292"/>
  <c r="C291"/>
  <c r="C290"/>
  <c r="C292"/>
  <c r="K293"/>
  <c r="C293"/>
  <c r="K291"/>
  <c r="C381"/>
  <c r="C382"/>
  <c r="C379"/>
  <c r="C370"/>
  <c r="C368"/>
  <c r="C378"/>
  <c r="C369"/>
  <c r="C380"/>
  <c r="C371"/>
  <c r="C367"/>
  <c r="D17" i="7"/>
  <c r="H17" s="1"/>
  <c r="C200" i="16"/>
  <c r="A154"/>
  <c r="A124"/>
  <c r="A197"/>
  <c r="A168"/>
  <c r="C201"/>
  <c r="C197"/>
  <c r="A123"/>
  <c r="C198"/>
  <c r="A153"/>
  <c r="A122"/>
  <c r="A156"/>
  <c r="C120"/>
  <c r="A198"/>
  <c r="C122"/>
  <c r="A199"/>
  <c r="A166"/>
  <c r="A157"/>
  <c r="C121"/>
  <c r="A120"/>
  <c r="C199"/>
  <c r="A121"/>
  <c r="A165"/>
  <c r="A200"/>
  <c r="A167"/>
  <c r="A155"/>
  <c r="C124"/>
  <c r="A201"/>
  <c r="A164"/>
  <c r="C123"/>
  <c r="I7" i="7"/>
  <c r="C250" i="16"/>
  <c r="C246"/>
  <c r="C247"/>
  <c r="C248"/>
  <c r="C245"/>
  <c r="C249"/>
  <c r="I53" i="17"/>
  <c r="I5" i="7"/>
  <c r="G47" i="11" s="1"/>
  <c r="G49" s="1"/>
  <c r="A236" i="16"/>
  <c r="A227"/>
  <c r="A226"/>
  <c r="A225"/>
  <c r="A235"/>
  <c r="A238"/>
  <c r="A239"/>
  <c r="A224"/>
  <c r="A237"/>
  <c r="A228"/>
  <c r="I12" i="7"/>
  <c r="E279" i="16"/>
  <c r="E282"/>
  <c r="E280"/>
  <c r="E283"/>
  <c r="E281"/>
  <c r="E36" i="7"/>
  <c r="C410" i="16"/>
  <c r="A366"/>
  <c r="A333"/>
  <c r="A410"/>
  <c r="A377"/>
  <c r="C333"/>
  <c r="A257"/>
  <c r="A269"/>
  <c r="A260"/>
  <c r="A259"/>
  <c r="A258"/>
  <c r="A268"/>
  <c r="A271"/>
  <c r="A272"/>
  <c r="A270"/>
  <c r="A261"/>
  <c r="I15" i="7"/>
  <c r="I290" i="16"/>
  <c r="E291"/>
  <c r="G292"/>
  <c r="I293"/>
  <c r="E293"/>
  <c r="E290"/>
  <c r="I292"/>
  <c r="E292"/>
  <c r="G293"/>
  <c r="I294"/>
  <c r="G294"/>
  <c r="E294"/>
  <c r="G290"/>
  <c r="I291"/>
  <c r="G291"/>
  <c r="C377"/>
  <c r="C366"/>
  <c r="E17" i="7"/>
  <c r="I17" s="1"/>
  <c r="A413" i="16"/>
  <c r="A368"/>
  <c r="A335"/>
  <c r="C411"/>
  <c r="A378"/>
  <c r="A412"/>
  <c r="C415"/>
  <c r="A415"/>
  <c r="A367"/>
  <c r="C337"/>
  <c r="A334"/>
  <c r="A414"/>
  <c r="A337"/>
  <c r="A379"/>
  <c r="C414"/>
  <c r="A380"/>
  <c r="A371"/>
  <c r="C336"/>
  <c r="A338"/>
  <c r="A370"/>
  <c r="C335"/>
  <c r="C338"/>
  <c r="C413"/>
  <c r="A381"/>
  <c r="A369"/>
  <c r="A336"/>
  <c r="C412"/>
  <c r="A382"/>
  <c r="A411"/>
  <c r="C334"/>
  <c r="A355"/>
  <c r="A388"/>
  <c r="A344"/>
  <c r="A399"/>
  <c r="AL121" i="14"/>
  <c r="AL123" s="1"/>
  <c r="H13" i="7"/>
  <c r="M76" i="16"/>
  <c r="M78"/>
  <c r="A76"/>
  <c r="M77"/>
  <c r="M79"/>
  <c r="A80"/>
  <c r="M80"/>
  <c r="A79"/>
  <c r="A78"/>
  <c r="A77"/>
  <c r="H11" i="7"/>
  <c r="C69" i="16"/>
  <c r="G67"/>
  <c r="G65"/>
  <c r="C68"/>
  <c r="C66"/>
  <c r="G66"/>
  <c r="C67"/>
  <c r="G68"/>
  <c r="G69"/>
  <c r="C65"/>
  <c r="H14" i="7"/>
  <c r="K80" i="16"/>
  <c r="C76"/>
  <c r="C78"/>
  <c r="C80"/>
  <c r="C79"/>
  <c r="K76"/>
  <c r="C77"/>
  <c r="K77"/>
  <c r="K78"/>
  <c r="K79"/>
  <c r="H10" i="7"/>
  <c r="I67" i="16"/>
  <c r="A69"/>
  <c r="A68"/>
  <c r="I68"/>
  <c r="I69"/>
  <c r="A65"/>
  <c r="A67"/>
  <c r="I65"/>
  <c r="A66"/>
  <c r="I66"/>
  <c r="A53"/>
  <c r="A42"/>
  <c r="P5" i="17"/>
  <c r="R5" s="1"/>
  <c r="J71"/>
  <c r="J72"/>
  <c r="P9"/>
  <c r="R9" s="1"/>
  <c r="J17"/>
  <c r="J18"/>
  <c r="J35"/>
  <c r="J36"/>
  <c r="J90"/>
  <c r="J89"/>
  <c r="P4"/>
  <c r="R4" s="1"/>
  <c r="P7"/>
  <c r="R7" s="1"/>
  <c r="P8"/>
  <c r="R8" s="1"/>
  <c r="S47" i="8"/>
  <c r="H119"/>
  <c r="L8" i="10" s="1"/>
  <c r="D8" i="11" s="1"/>
  <c r="D11" s="1"/>
  <c r="G11" s="1"/>
  <c r="E12" i="10"/>
  <c r="G30" i="11"/>
  <c r="D8" i="7"/>
  <c r="H47" i="8"/>
  <c r="L14" i="10" s="1"/>
  <c r="E5"/>
  <c r="E16"/>
  <c r="D5"/>
  <c r="Q23" i="8"/>
  <c r="Q47"/>
  <c r="D7" i="10"/>
  <c r="Q144" i="8"/>
  <c r="D15" i="10"/>
  <c r="D6"/>
  <c r="F47" i="8"/>
  <c r="L13" i="10" s="1"/>
  <c r="D13"/>
  <c r="Q119" i="8"/>
  <c r="F23"/>
  <c r="D4" i="10"/>
  <c r="D12"/>
  <c r="F119" i="8"/>
  <c r="L7" i="10" s="1"/>
  <c r="J5" i="11" s="1"/>
  <c r="J8" s="1"/>
  <c r="C38"/>
  <c r="C40" s="1"/>
  <c r="H40" s="1"/>
  <c r="C74"/>
  <c r="C76" s="1"/>
  <c r="H76" s="1"/>
  <c r="C92"/>
  <c r="C94" s="1"/>
  <c r="H94" s="1"/>
  <c r="C55"/>
  <c r="C57" s="1"/>
  <c r="H57" s="1"/>
  <c r="D10" i="10"/>
  <c r="F95" i="8"/>
  <c r="D11" i="10"/>
  <c r="Q95" i="8"/>
  <c r="F71"/>
  <c r="D8" i="10"/>
  <c r="D16"/>
  <c r="F168" i="8"/>
  <c r="AH97" i="14"/>
  <c r="AH98"/>
  <c r="AF123"/>
  <c r="G20" i="13"/>
  <c r="H20" s="1"/>
  <c r="AC228" i="12"/>
  <c r="AH123" i="14"/>
  <c r="AH122"/>
  <c r="G21" i="13"/>
  <c r="H21" s="1"/>
  <c r="AC182" i="12"/>
  <c r="AF97" i="14"/>
  <c r="AF98"/>
  <c r="AB96"/>
  <c r="AL96"/>
  <c r="AB121"/>
  <c r="AO71"/>
  <c r="AB72"/>
  <c r="AB73"/>
  <c r="AF47"/>
  <c r="AL48"/>
  <c r="AO46"/>
  <c r="AB48"/>
  <c r="U4" l="1"/>
  <c r="V4"/>
  <c r="V61"/>
  <c r="V70" s="1"/>
  <c r="AN123"/>
  <c r="AN122"/>
  <c r="V6"/>
  <c r="U6"/>
  <c r="AN22"/>
  <c r="AN23"/>
  <c r="AJ123"/>
  <c r="AJ122"/>
  <c r="V18"/>
  <c r="U18"/>
  <c r="AO72"/>
  <c r="E73" s="1"/>
  <c r="V41"/>
  <c r="V45" s="1"/>
  <c r="T20"/>
  <c r="Z22"/>
  <c r="AO21"/>
  <c r="Z23"/>
  <c r="V11"/>
  <c r="U11"/>
  <c r="AO73"/>
  <c r="U70"/>
  <c r="D73" s="1"/>
  <c r="U45"/>
  <c r="D48" s="1"/>
  <c r="G32" i="11"/>
  <c r="N48"/>
  <c r="K49"/>
  <c r="F23" i="13"/>
  <c r="H22"/>
  <c r="H8"/>
  <c r="F9"/>
  <c r="K86" i="11"/>
  <c r="N31"/>
  <c r="N32" s="1"/>
  <c r="Q32" s="1"/>
  <c r="N49"/>
  <c r="Q49" s="1"/>
  <c r="J14" i="10"/>
  <c r="D16" i="11" s="1"/>
  <c r="I16" s="1"/>
  <c r="G66"/>
  <c r="G68" s="1"/>
  <c r="N67" s="1"/>
  <c r="N68" s="1"/>
  <c r="Q68" s="1"/>
  <c r="G84"/>
  <c r="G86" s="1"/>
  <c r="N85" s="1"/>
  <c r="N86" s="1"/>
  <c r="Q86" s="1"/>
  <c r="AL122" i="14"/>
  <c r="H8" i="7"/>
  <c r="A56" i="16"/>
  <c r="A44"/>
  <c r="A43"/>
  <c r="A57"/>
  <c r="A55"/>
  <c r="P10" i="17"/>
  <c r="A47" i="16"/>
  <c r="A45"/>
  <c r="A58"/>
  <c r="A46"/>
  <c r="A54"/>
  <c r="J8" i="10"/>
  <c r="E16" i="11" s="1"/>
  <c r="K16" s="1"/>
  <c r="J13" i="10"/>
  <c r="J7"/>
  <c r="AO121" i="14"/>
  <c r="AB122"/>
  <c r="AB123"/>
  <c r="AO123" s="1"/>
  <c r="AB97"/>
  <c r="AO96"/>
  <c r="AB98"/>
  <c r="AL97"/>
  <c r="AL98"/>
  <c r="AO48"/>
  <c r="AO47"/>
  <c r="E48" s="1"/>
  <c r="V20" l="1"/>
  <c r="U20"/>
  <c r="D23" s="1"/>
  <c r="AO23"/>
  <c r="AO22"/>
  <c r="E23" s="1"/>
  <c r="AO97"/>
  <c r="E98" s="1"/>
  <c r="AO98"/>
  <c r="AO122"/>
  <c r="H16" i="11"/>
  <c r="D17"/>
  <c r="D18" s="1"/>
  <c r="D19" s="1"/>
  <c r="H23" i="13"/>
  <c r="F24"/>
  <c r="H9"/>
  <c r="F10"/>
  <c r="E123" i="14"/>
  <c r="J16" i="11"/>
  <c r="E17"/>
  <c r="J17" s="1"/>
  <c r="I18"/>
  <c r="H18" l="1"/>
  <c r="I17"/>
  <c r="H17"/>
  <c r="F25" i="13"/>
  <c r="H25" s="1"/>
  <c r="I25" s="1"/>
  <c r="H24"/>
  <c r="H10"/>
  <c r="F11"/>
  <c r="H11" s="1"/>
  <c r="I11" s="1"/>
  <c r="E18" i="11"/>
  <c r="E19" s="1"/>
  <c r="K17"/>
  <c r="H19"/>
  <c r="I19"/>
  <c r="D20"/>
  <c r="I24" i="13" l="1"/>
  <c r="I23" s="1"/>
  <c r="K25"/>
  <c r="L25"/>
  <c r="I10"/>
  <c r="K11"/>
  <c r="L11"/>
  <c r="K18" i="11"/>
  <c r="J18"/>
  <c r="K19"/>
  <c r="J19"/>
  <c r="E20"/>
  <c r="I20"/>
  <c r="H20"/>
  <c r="D21"/>
  <c r="K24" i="13" l="1"/>
  <c r="L24"/>
  <c r="L23"/>
  <c r="I22"/>
  <c r="K23"/>
  <c r="I9"/>
  <c r="K10"/>
  <c r="L10"/>
  <c r="K20" i="11"/>
  <c r="J20"/>
  <c r="E21"/>
  <c r="H21"/>
  <c r="I21"/>
  <c r="L22" i="13" l="1"/>
  <c r="I21"/>
  <c r="K22"/>
  <c r="I8"/>
  <c r="K9"/>
  <c r="L9"/>
  <c r="J21" i="11"/>
  <c r="K21"/>
  <c r="L21" i="13" l="1"/>
  <c r="I20"/>
  <c r="K21"/>
  <c r="I7"/>
  <c r="K8"/>
  <c r="L8"/>
  <c r="L20" l="1"/>
  <c r="L26" s="1"/>
  <c r="K20"/>
  <c r="K26" s="1"/>
  <c r="K7"/>
  <c r="I6"/>
  <c r="L7"/>
  <c r="K28" l="1"/>
  <c r="K6"/>
  <c r="K12" s="1"/>
  <c r="K14" s="1"/>
  <c r="L6"/>
  <c r="L12" s="1"/>
</calcChain>
</file>

<file path=xl/comments1.xml><?xml version="1.0" encoding="utf-8"?>
<comments xmlns="http://schemas.openxmlformats.org/spreadsheetml/2006/main">
  <authors>
    <author>Roberto</author>
  </authors>
  <commentList>
    <comment ref="C31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G31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K31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C39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C48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G48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K48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C56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C67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G67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K67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C75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C85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  <comment ref="G85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K85" authorId="0">
      <text>
        <r>
          <rPr>
            <sz val="9"/>
            <color indexed="81"/>
            <rFont val="Tahoma"/>
            <family val="2"/>
          </rPr>
          <t>con incremento 20% dovuto a eccentriciità</t>
        </r>
      </text>
    </comment>
    <comment ref="C93" authorId="0">
      <text>
        <r>
          <rPr>
            <sz val="9"/>
            <color indexed="81"/>
            <rFont val="Tahoma"/>
            <family val="2"/>
          </rPr>
          <t>senza incremento 20% non essendo eccentriche</t>
        </r>
      </text>
    </comment>
  </commentList>
</comments>
</file>

<file path=xl/sharedStrings.xml><?xml version="1.0" encoding="utf-8"?>
<sst xmlns="http://schemas.openxmlformats.org/spreadsheetml/2006/main" count="3913" uniqueCount="486">
  <si>
    <t>impalcato</t>
  </si>
  <si>
    <t>superficie</t>
  </si>
  <si>
    <t>peso unitario</t>
  </si>
  <si>
    <t>peso impalcato</t>
  </si>
  <si>
    <t>massa</t>
  </si>
  <si>
    <t>C1</t>
  </si>
  <si>
    <t>H</t>
  </si>
  <si>
    <t>T1</t>
  </si>
  <si>
    <t>Vb</t>
  </si>
  <si>
    <t>Sd(T1)</t>
  </si>
  <si>
    <t>W</t>
  </si>
  <si>
    <t>z</t>
  </si>
  <si>
    <t>W z</t>
  </si>
  <si>
    <t>F</t>
  </si>
  <si>
    <t>V</t>
  </si>
  <si>
    <t>impal / ordine</t>
  </si>
  <si>
    <t>braccio</t>
  </si>
  <si>
    <t>h interpiano</t>
  </si>
  <si>
    <t>piede</t>
  </si>
  <si>
    <t>altezza edificio misurata dalla fondazione</t>
  </si>
  <si>
    <t>da file spettri Paola(CS)</t>
  </si>
  <si>
    <t>Totale</t>
  </si>
  <si>
    <t>Numero pilastri</t>
  </si>
  <si>
    <t>Num.pilastri tor.</t>
  </si>
  <si>
    <t>Altezza pil. I ordine</t>
  </si>
  <si>
    <t>1 testa</t>
  </si>
  <si>
    <t>[kN]</t>
  </si>
  <si>
    <t>[m]</t>
  </si>
  <si>
    <t>[kNm]</t>
  </si>
  <si>
    <r>
      <t xml:space="preserve">V </t>
    </r>
    <r>
      <rPr>
        <b/>
        <vertAlign val="subscript"/>
        <sz val="11"/>
        <color theme="1"/>
        <rFont val="Calibri"/>
        <family val="2"/>
        <scheme val="minor"/>
      </rPr>
      <t>pilastro</t>
    </r>
  </si>
  <si>
    <r>
      <t xml:space="preserve">M </t>
    </r>
    <r>
      <rPr>
        <b/>
        <vertAlign val="subscript"/>
        <sz val="11"/>
        <color theme="1"/>
        <rFont val="Calibri"/>
        <family val="2"/>
        <scheme val="minor"/>
      </rPr>
      <t>pilastro</t>
    </r>
  </si>
  <si>
    <r>
      <t xml:space="preserve">M </t>
    </r>
    <r>
      <rPr>
        <b/>
        <vertAlign val="subscript"/>
        <sz val="11"/>
        <color theme="1"/>
        <rFont val="Calibri"/>
        <family val="2"/>
        <scheme val="minor"/>
      </rPr>
      <t>travi</t>
    </r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</si>
  <si>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 xml:space="preserve">N </t>
    </r>
    <r>
      <rPr>
        <b/>
        <vertAlign val="subscript"/>
        <sz val="11"/>
        <color theme="1"/>
        <rFont val="Calibri"/>
        <family val="2"/>
        <scheme val="minor"/>
      </rPr>
      <t>pilastro</t>
    </r>
  </si>
  <si>
    <t>luce trave</t>
  </si>
  <si>
    <t>m</t>
  </si>
  <si>
    <t>Incremento carat. Sollecitazioni 20% per eccentricità</t>
  </si>
  <si>
    <t>*incremento per le gerarchie delle resistenze( per CD"B" molt. per 1.3 )</t>
  </si>
  <si>
    <r>
      <t>Peso proprio al m</t>
    </r>
    <r>
      <rPr>
        <vertAlign val="superscript"/>
        <sz val="11"/>
        <color theme="1"/>
        <rFont val="Calibri"/>
        <family val="2"/>
        <scheme val="minor"/>
      </rPr>
      <t>2</t>
    </r>
  </si>
  <si>
    <t>Sovraccarichi permanenti</t>
  </si>
  <si>
    <t>Carichi variabili</t>
  </si>
  <si>
    <t xml:space="preserve"> soletta</t>
  </si>
  <si>
    <r>
      <t>kN/m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</si>
  <si>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massetto</t>
  </si>
  <si>
    <t xml:space="preserve"> NTC (abitazione)</t>
  </si>
  <si>
    <t xml:space="preserve"> travetti</t>
  </si>
  <si>
    <t xml:space="preserve"> adesivo posa pav.</t>
  </si>
  <si>
    <t xml:space="preserve"> pignatte</t>
  </si>
  <si>
    <t xml:space="preserve"> pavimento</t>
  </si>
  <si>
    <t xml:space="preserve"> incidenza tramezzi</t>
  </si>
  <si>
    <t xml:space="preserve"> TOTALE</t>
  </si>
  <si>
    <t xml:space="preserve"> TOTALE CARICHI</t>
  </si>
  <si>
    <r>
      <t>g</t>
    </r>
    <r>
      <rPr>
        <vertAlign val="subscript"/>
        <sz val="11"/>
        <color theme="1"/>
        <rFont val="Calibri"/>
        <family val="2"/>
        <scheme val="minor"/>
      </rPr>
      <t>k</t>
    </r>
  </si>
  <si>
    <r>
      <t>g</t>
    </r>
    <r>
      <rPr>
        <vertAlign val="subscript"/>
        <sz val="11"/>
        <color theme="1"/>
        <rFont val="Calibri"/>
        <family val="2"/>
        <scheme val="minor"/>
      </rPr>
      <t>k,tramezzi</t>
    </r>
  </si>
  <si>
    <r>
      <t>q</t>
    </r>
    <r>
      <rPr>
        <vertAlign val="subscript"/>
        <sz val="11"/>
        <color theme="1"/>
        <rFont val="Calibri"/>
        <family val="2"/>
        <scheme val="minor"/>
      </rPr>
      <t>k</t>
    </r>
  </si>
  <si>
    <t xml:space="preserve"> valori caratteristici</t>
  </si>
  <si>
    <t xml:space="preserve"> valori di progetto</t>
  </si>
  <si>
    <t>BALCONE</t>
  </si>
  <si>
    <t>SCALA</t>
  </si>
  <si>
    <t>Dimensioni geometriche</t>
  </si>
  <si>
    <t>Scala a soletta rampante</t>
  </si>
  <si>
    <t>Pianerottolo</t>
  </si>
  <si>
    <t xml:space="preserve">Peso specifico </t>
  </si>
  <si>
    <r>
      <t xml:space="preserve"> h</t>
    </r>
    <r>
      <rPr>
        <vertAlign val="subscript"/>
        <sz val="11"/>
        <color theme="1"/>
        <rFont val="Calibri"/>
        <family val="2"/>
        <scheme val="minor"/>
      </rPr>
      <t>pianerottolo</t>
    </r>
  </si>
  <si>
    <t xml:space="preserve"> cls</t>
  </si>
  <si>
    <r>
      <t>kN/m</t>
    </r>
    <r>
      <rPr>
        <vertAlign val="superscript"/>
        <sz val="11"/>
        <color theme="1"/>
        <rFont val="Calibri"/>
        <family val="2"/>
        <scheme val="minor"/>
      </rPr>
      <t>3</t>
    </r>
  </si>
  <si>
    <t xml:space="preserve"> lunghezza rampa 1</t>
  </si>
  <si>
    <r>
      <t xml:space="preserve"> sp.</t>
    </r>
    <r>
      <rPr>
        <vertAlign val="subscript"/>
        <sz val="11"/>
        <color theme="1"/>
        <rFont val="Calibri"/>
        <family val="2"/>
        <scheme val="minor"/>
      </rPr>
      <t>intonaco</t>
    </r>
  </si>
  <si>
    <t xml:space="preserve"> intonaco</t>
  </si>
  <si>
    <t xml:space="preserve"> lunghuzza rampa 2</t>
  </si>
  <si>
    <r>
      <t xml:space="preserve"> sp.</t>
    </r>
    <r>
      <rPr>
        <vertAlign val="subscript"/>
        <sz val="11"/>
        <color theme="1"/>
        <rFont val="Calibri"/>
        <family val="2"/>
        <scheme val="minor"/>
      </rPr>
      <t>massetto</t>
    </r>
  </si>
  <si>
    <t xml:space="preserve"> a1</t>
  </si>
  <si>
    <t>gradi</t>
  </si>
  <si>
    <r>
      <t xml:space="preserve"> sp.</t>
    </r>
    <r>
      <rPr>
        <vertAlign val="subscript"/>
        <sz val="11"/>
        <color theme="1"/>
        <rFont val="Calibri"/>
        <family val="2"/>
        <scheme val="minor"/>
      </rPr>
      <t>marmo</t>
    </r>
  </si>
  <si>
    <t xml:space="preserve"> marmo</t>
  </si>
  <si>
    <t xml:space="preserve"> a2</t>
  </si>
  <si>
    <t xml:space="preserve"> gradini</t>
  </si>
  <si>
    <t xml:space="preserve"> a </t>
  </si>
  <si>
    <t xml:space="preserve"> p</t>
  </si>
  <si>
    <r>
      <t xml:space="preserve"> sp.</t>
    </r>
    <r>
      <rPr>
        <vertAlign val="subscript"/>
        <sz val="11"/>
        <color theme="1"/>
        <rFont val="Calibri"/>
        <family val="2"/>
        <scheme val="minor"/>
      </rPr>
      <t>marmo, pedata</t>
    </r>
  </si>
  <si>
    <r>
      <t xml:space="preserve"> sp.</t>
    </r>
    <r>
      <rPr>
        <vertAlign val="subscript"/>
        <sz val="11"/>
        <color theme="1"/>
        <rFont val="Calibri"/>
        <family val="2"/>
        <scheme val="minor"/>
      </rPr>
      <t>marmo, alzata</t>
    </r>
  </si>
  <si>
    <r>
      <t>dimensioni</t>
    </r>
    <r>
      <rPr>
        <vertAlign val="subscript"/>
        <sz val="11"/>
        <color theme="1"/>
        <rFont val="Calibri"/>
        <family val="2"/>
        <scheme val="minor"/>
      </rPr>
      <t>marmo, alzata</t>
    </r>
  </si>
  <si>
    <r>
      <t>dimensioni</t>
    </r>
    <r>
      <rPr>
        <vertAlign val="subscript"/>
        <sz val="11"/>
        <color theme="1"/>
        <rFont val="Calibri"/>
        <family val="2"/>
        <scheme val="minor"/>
      </rPr>
      <t>marmo, pedata</t>
    </r>
  </si>
  <si>
    <r>
      <t>Peso proprio al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 Scala</t>
    </r>
  </si>
  <si>
    <r>
      <t>Peso proprio al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 pianerottolo</t>
    </r>
  </si>
  <si>
    <r>
      <t>Peso proprio al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 Scala+pian.</t>
    </r>
  </si>
  <si>
    <t xml:space="preserve"> soletta </t>
  </si>
  <si>
    <t>Area scala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</si>
  <si>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</si>
  <si>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 intonaco </t>
  </si>
  <si>
    <t>Area pian.</t>
  </si>
  <si>
    <r>
      <t xml:space="preserve"> Peso al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 Scala</t>
    </r>
  </si>
  <si>
    <t xml:space="preserve"> malta</t>
  </si>
  <si>
    <r>
      <t xml:space="preserve"> Peso al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 Pian</t>
    </r>
  </si>
  <si>
    <t xml:space="preserve"> Media pond. Pesi</t>
  </si>
  <si>
    <t>Complesso scala + pian.</t>
  </si>
  <si>
    <t>TAMPONATURE</t>
  </si>
  <si>
    <t>forati fodera interna</t>
  </si>
  <si>
    <t>intonaco</t>
  </si>
  <si>
    <t>forati fodera esterna</t>
  </si>
  <si>
    <t>isolante (lana di vetro)</t>
  </si>
  <si>
    <t xml:space="preserve"> h</t>
  </si>
  <si>
    <t>(altezza impalcato 3,20 m meno larghezza trave emergente 0,60 m)</t>
  </si>
  <si>
    <t>kN/m</t>
  </si>
  <si>
    <t>TRAMEZZI</t>
  </si>
  <si>
    <t xml:space="preserve"> forati da 8 cm</t>
  </si>
  <si>
    <t>TRAVE EMERGENTE</t>
  </si>
  <si>
    <t xml:space="preserve"> b</t>
  </si>
  <si>
    <t>Solaio a detrarre</t>
  </si>
  <si>
    <t>TRAVE A SPESSORE</t>
  </si>
  <si>
    <t>balcone</t>
  </si>
  <si>
    <t>scala</t>
  </si>
  <si>
    <t>trave emergente</t>
  </si>
  <si>
    <t>trave a spessore</t>
  </si>
  <si>
    <t>tamponatura</t>
  </si>
  <si>
    <t>tramezzi</t>
  </si>
  <si>
    <t>a</t>
  </si>
  <si>
    <r>
      <t>Q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[kN/m]</t>
    </r>
  </si>
  <si>
    <t xml:space="preserve"> sbalzo a destra</t>
  </si>
  <si>
    <t xml:space="preserve"> solaio  a destra</t>
  </si>
  <si>
    <t xml:space="preserve"> solaio a destra</t>
  </si>
  <si>
    <t>-</t>
  </si>
  <si>
    <t xml:space="preserve"> solaio a sinistra</t>
  </si>
  <si>
    <t xml:space="preserve"> p.p.trave</t>
  </si>
  <si>
    <t xml:space="preserve"> tamponatura</t>
  </si>
  <si>
    <t xml:space="preserve"> scala a destra</t>
  </si>
  <si>
    <t xml:space="preserve"> sbalzo a sinistra</t>
  </si>
  <si>
    <t>emergente</t>
  </si>
  <si>
    <t>spessore</t>
  </si>
  <si>
    <t xml:space="preserve"> 15-16 </t>
  </si>
  <si>
    <t xml:space="preserve"> 6-7</t>
  </si>
  <si>
    <t xml:space="preserve">   Carico al m</t>
  </si>
  <si>
    <t>Tipologia Trave</t>
  </si>
  <si>
    <t>kN</t>
  </si>
  <si>
    <t>TOTALE</t>
  </si>
  <si>
    <t xml:space="preserve"> trave spessore</t>
  </si>
  <si>
    <t xml:space="preserve"> trave emergente</t>
  </si>
  <si>
    <t xml:space="preserve"> scala</t>
  </si>
  <si>
    <t xml:space="preserve"> sbalzo ad angolo</t>
  </si>
  <si>
    <t xml:space="preserve"> balcone</t>
  </si>
  <si>
    <t xml:space="preserve"> solaio</t>
  </si>
  <si>
    <t>u.m.</t>
  </si>
  <si>
    <r>
      <t>g</t>
    </r>
    <r>
      <rPr>
        <vertAlign val="subscript"/>
        <sz val="11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+ q</t>
    </r>
    <r>
      <rPr>
        <vertAlign val="subscript"/>
        <sz val="11"/>
        <color theme="1"/>
        <rFont val="Calibri"/>
        <family val="2"/>
        <scheme val="minor"/>
      </rPr>
      <t>d</t>
    </r>
  </si>
  <si>
    <t>Voci di carico</t>
  </si>
  <si>
    <t xml:space="preserve"> Sx</t>
  </si>
  <si>
    <t xml:space="preserve"> sotto</t>
  </si>
  <si>
    <t xml:space="preserve"> dx</t>
  </si>
  <si>
    <t xml:space="preserve"> sopra</t>
  </si>
  <si>
    <t>luce</t>
  </si>
  <si>
    <t>orditura trave</t>
  </si>
  <si>
    <t>orditura solaio</t>
  </si>
  <si>
    <t xml:space="preserve">   Pilastri 9 - 12</t>
  </si>
  <si>
    <t xml:space="preserve">   Pilastri 2 - 3</t>
  </si>
  <si>
    <t xml:space="preserve">   Pilastri 1 - 4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</si>
  <si>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</si>
  <si>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k,tramezzi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</si>
  <si>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</si>
  <si>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</si>
  <si>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t>g</t>
    </r>
    <r>
      <rPr>
        <b/>
        <vertAlign val="subscript"/>
        <sz val="12"/>
        <color theme="1"/>
        <rFont val="Calibri"/>
        <family val="2"/>
        <scheme val="minor"/>
      </rPr>
      <t>d,tramezzi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</si>
  <si>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</si>
  <si>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+q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</si>
  <si>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t>y</t>
    </r>
    <r>
      <rPr>
        <b/>
        <vertAlign val="subscript"/>
        <sz val="11"/>
        <color theme="1"/>
        <rFont val="Calibri"/>
        <family val="2"/>
        <scheme val="minor"/>
      </rPr>
      <t>02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</si>
  <si>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Calibri"/>
        <family val="2"/>
        <scheme val="minor"/>
      </rPr>
      <t>02</t>
    </r>
    <r>
      <rPr>
        <b/>
        <sz val="11"/>
        <color theme="1"/>
        <rFont val="Calibri"/>
        <family val="2"/>
        <scheme val="minor"/>
      </rPr>
      <t>*q</t>
    </r>
    <r>
      <rPr>
        <b/>
        <vertAlign val="subscript"/>
        <sz val="11"/>
        <color theme="1"/>
        <rFont val="Calibri"/>
        <family val="2"/>
        <scheme val="minor"/>
      </rPr>
      <t>k</t>
    </r>
  </si>
  <si>
    <t xml:space="preserve"> in assenza di sisma</t>
  </si>
  <si>
    <t xml:space="preserve"> in presenza di sisma</t>
  </si>
  <si>
    <t xml:space="preserve">u.m </t>
  </si>
  <si>
    <r>
      <t>kN/m</t>
    </r>
    <r>
      <rPr>
        <sz val="11"/>
        <color theme="1"/>
        <rFont val="Calibri"/>
        <family val="2"/>
        <scheme val="minor"/>
      </rPr>
      <t/>
    </r>
  </si>
  <si>
    <t>campata 1-2  , 3-4  trave emergente</t>
  </si>
  <si>
    <t>campata 10-5 , 11-8  trave a spessore</t>
  </si>
  <si>
    <t>campata 9-10 , 11-12  trave emergente</t>
  </si>
  <si>
    <t>campata 5-6 , 7- 8  trave emergente</t>
  </si>
  <si>
    <t>campata 13-14 , 17-18  trave emergente</t>
  </si>
  <si>
    <t>campata 14-15 , 16-17    trave emergente</t>
  </si>
  <si>
    <t>campata 19-20 , 21-22  trave emergente</t>
  </si>
  <si>
    <t>campata 20-23 , 26-21 trave a  spessore</t>
  </si>
  <si>
    <t>campata 27-28 , 29-30  trave emergente</t>
  </si>
  <si>
    <t>Carico su travi a parallele all'orditura del solaio</t>
  </si>
  <si>
    <t>Carico su travi a che portano sbalzi laterali</t>
  </si>
  <si>
    <r>
      <t xml:space="preserve"> TOTALE </t>
    </r>
    <r>
      <rPr>
        <sz val="11"/>
        <color theme="1"/>
        <rFont val="Calibri"/>
        <family val="2"/>
        <scheme val="minor"/>
      </rPr>
      <t>[kN/m]</t>
    </r>
  </si>
  <si>
    <t>in presenza di sisma</t>
  </si>
  <si>
    <t>in assenza
 di sisma</t>
  </si>
  <si>
    <r>
      <t>G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
[kN/m]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</si>
  <si>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Calibri"/>
        <family val="2"/>
        <scheme val="minor"/>
      </rPr>
      <t>02</t>
    </r>
    <r>
      <rPr>
        <b/>
        <sz val="11"/>
        <color theme="1"/>
        <rFont val="Calibri"/>
        <family val="2"/>
        <scheme val="minor"/>
      </rPr>
      <t>*Q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[kN/m]</t>
    </r>
  </si>
  <si>
    <t>luce 
[m]</t>
  </si>
  <si>
    <t xml:space="preserve"> fascia di solaio 
[m]</t>
  </si>
  <si>
    <t>Campata 1-9 , 9-13, 13-19, 19-27, 4-12 , 12-18, 18-22, 22-30                    trave emergente</t>
  </si>
  <si>
    <t>campata 15-24 , 16-25, 14-20, 17-21, 10-14, 11-17        trave a spessore</t>
  </si>
  <si>
    <t>in assenza di sisma</t>
  </si>
  <si>
    <t xml:space="preserve">  Campata</t>
  </si>
  <si>
    <t xml:space="preserve"> 1-2, 3-4</t>
  </si>
  <si>
    <t xml:space="preserve"> 5-6, 7-8</t>
  </si>
  <si>
    <t xml:space="preserve"> 9-10, 11-12</t>
  </si>
  <si>
    <t xml:space="preserve"> 10-5, 8-11</t>
  </si>
  <si>
    <t xml:space="preserve"> 13-14, 17-18</t>
  </si>
  <si>
    <t xml:space="preserve"> 14-15, 16-17</t>
  </si>
  <si>
    <t xml:space="preserve"> 19-20, 21-22</t>
  </si>
  <si>
    <t xml:space="preserve"> 20-23, 26-21</t>
  </si>
  <si>
    <t xml:space="preserve"> 27-28, 29-30</t>
  </si>
  <si>
    <t xml:space="preserve"> 15-24 , 16-25, 14-20
 17-21, 10-14, 11-17</t>
  </si>
  <si>
    <t xml:space="preserve"> 1-9 , 9-13, 13-19, 19-27
 4-12 , 12-18, 18-22, 22-30</t>
  </si>
  <si>
    <t xml:space="preserve"> scala a sinistra</t>
  </si>
  <si>
    <t>campata 6-7   trave emergente</t>
  </si>
  <si>
    <t>campata 15-16   trave a spessore</t>
  </si>
  <si>
    <t>campata 23-24 , 24-25, 25-26 trave emergente</t>
  </si>
  <si>
    <t xml:space="preserve"> 23-24, 24-25, 25-26</t>
  </si>
  <si>
    <t>coefficienti di continuità</t>
  </si>
  <si>
    <r>
      <t>G</t>
    </r>
    <r>
      <rPr>
        <vertAlign val="subscript"/>
        <sz val="11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+ Q</t>
    </r>
    <r>
      <rPr>
        <vertAlign val="subscript"/>
        <sz val="11"/>
        <color theme="1"/>
        <rFont val="Calibri"/>
        <family val="2"/>
        <scheme val="minor"/>
      </rPr>
      <t xml:space="preserve">d
</t>
    </r>
    <r>
      <rPr>
        <sz val="11"/>
        <color theme="1"/>
        <rFont val="Calibri"/>
        <family val="2"/>
        <scheme val="minor"/>
      </rPr>
      <t>[KN]</t>
    </r>
  </si>
  <si>
    <t>al piede</t>
  </si>
  <si>
    <r>
      <t>g</t>
    </r>
    <r>
      <rPr>
        <vertAlign val="subscript"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>+</t>
    </r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scheme val="minor"/>
      </rPr>
      <t>02</t>
    </r>
    <r>
      <rPr>
        <sz val="11"/>
        <color theme="1"/>
        <rFont val="Calibri"/>
        <family val="2"/>
        <scheme val="minor"/>
      </rPr>
      <t>*q</t>
    </r>
    <r>
      <rPr>
        <vertAlign val="subscript"/>
        <sz val="11"/>
        <color theme="1"/>
        <rFont val="Calibri"/>
        <family val="2"/>
        <scheme val="minor"/>
      </rPr>
      <t>k</t>
    </r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</si>
  <si>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</si>
  <si>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kN/m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</si>
  <si>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</si>
  <si>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t xml:space="preserve">  Carico totale del pilastro incluso il peso proprio</t>
  </si>
  <si>
    <t xml:space="preserve">   Carico del pilastro a meno del peso proprio</t>
  </si>
  <si>
    <t>orditura solaio [m]</t>
  </si>
  <si>
    <t>orditura trave [m]</t>
  </si>
  <si>
    <t xml:space="preserve"> sopra  </t>
  </si>
  <si>
    <t xml:space="preserve"> sotto  </t>
  </si>
  <si>
    <t xml:space="preserve"> dx  </t>
  </si>
  <si>
    <t xml:space="preserve"> Sx  </t>
  </si>
  <si>
    <t xml:space="preserve">   Pilastri 10 - 11</t>
  </si>
  <si>
    <t xml:space="preserve">   Pilastri 5 - 8</t>
  </si>
  <si>
    <t xml:space="preserve">   Pilastri 6 - 7</t>
  </si>
  <si>
    <t xml:space="preserve">   Pilastri 14 - 17</t>
  </si>
  <si>
    <t xml:space="preserve">   Pilastri 15 - 16</t>
  </si>
  <si>
    <r>
      <rPr>
        <sz val="9"/>
        <color rgb="FFFF0000"/>
        <rFont val="Calibri"/>
        <family val="2"/>
        <scheme val="minor"/>
      </rPr>
      <t>*incl. Pil. Torr</t>
    </r>
    <r>
      <rPr>
        <sz val="9"/>
        <color theme="1"/>
        <rFont val="Calibri"/>
        <family val="2"/>
        <scheme val="minor"/>
      </rPr>
      <t>.</t>
    </r>
  </si>
  <si>
    <t xml:space="preserve"> sopra a sinistra</t>
  </si>
  <si>
    <t xml:space="preserve"> sotto a sinistra</t>
  </si>
  <si>
    <t xml:space="preserve"> sopra a destra</t>
  </si>
  <si>
    <t xml:space="preserve"> sotto a destra</t>
  </si>
  <si>
    <t xml:space="preserve">   Pilastri 13- 18</t>
  </si>
  <si>
    <t xml:space="preserve">   Pilastri 19 - 22</t>
  </si>
  <si>
    <t xml:space="preserve">   Pilastri 20 - 21</t>
  </si>
  <si>
    <t xml:space="preserve">   Pilastri 23 - 26</t>
  </si>
  <si>
    <t xml:space="preserve">   Pilastri 24 - 25</t>
  </si>
  <si>
    <t xml:space="preserve">   Pilastri 27 - 30</t>
  </si>
  <si>
    <t xml:space="preserve">   Pilastri 28 - 29</t>
  </si>
  <si>
    <t>PILASTRI</t>
  </si>
  <si>
    <t>U.M.</t>
  </si>
  <si>
    <t>Gd + Qd</t>
  </si>
  <si>
    <r>
      <t>G</t>
    </r>
    <r>
      <rPr>
        <b/>
        <vertAlign val="subscript"/>
        <sz val="10"/>
        <color theme="1"/>
        <rFont val="Times New Roman"/>
        <family val="1"/>
      </rPr>
      <t>k</t>
    </r>
    <r>
      <rPr>
        <b/>
        <sz val="10"/>
        <color theme="1"/>
        <rFont val="Times New Roman"/>
        <family val="1"/>
      </rPr>
      <t>+ψ*Q</t>
    </r>
    <r>
      <rPr>
        <b/>
        <vertAlign val="subscript"/>
        <sz val="10"/>
        <color theme="1"/>
        <rFont val="Times New Roman"/>
        <family val="1"/>
      </rPr>
      <t>k</t>
    </r>
  </si>
  <si>
    <t>PILASTRO PIU' SOLLECITATO</t>
  </si>
  <si>
    <t>PILASTRO MENO SOLLECITATO</t>
  </si>
  <si>
    <t>Pilastro</t>
  </si>
  <si>
    <t>Valore</t>
  </si>
  <si>
    <t>S.C.V</t>
  </si>
  <si>
    <t>Sisma</t>
  </si>
  <si>
    <t>ANALISI DEI CARICHI SUI PILASTRI PIANO TIPO</t>
  </si>
  <si>
    <t xml:space="preserve"> 1 - 4</t>
  </si>
  <si>
    <t>2 - 3</t>
  </si>
  <si>
    <t>5 - 8</t>
  </si>
  <si>
    <t>6 - 7</t>
  </si>
  <si>
    <t>9 - 12</t>
  </si>
  <si>
    <t xml:space="preserve">10 - 11 </t>
  </si>
  <si>
    <t>13 - 18</t>
  </si>
  <si>
    <t>14 - 17</t>
  </si>
  <si>
    <t>15 - 16</t>
  </si>
  <si>
    <t>19 - 22</t>
  </si>
  <si>
    <t>20 - 21</t>
  </si>
  <si>
    <t>23 - 26</t>
  </si>
  <si>
    <t>24 - 25</t>
  </si>
  <si>
    <t>27 - 30</t>
  </si>
  <si>
    <t>28 - 29</t>
  </si>
  <si>
    <t>Sforzo normale [kN]</t>
  </si>
  <si>
    <t>min</t>
  </si>
  <si>
    <t>max</t>
  </si>
  <si>
    <t>6 + torrino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</si>
  <si>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>min</t>
    </r>
    <r>
      <rPr>
        <b/>
        <sz val="11"/>
        <color theme="1"/>
        <rFont val="Calibri"/>
        <family val="2"/>
        <scheme val="minor"/>
      </rPr>
      <t xml:space="preserve">-ΔN 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</si>
  <si>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min</t>
    </r>
    <r>
      <rPr>
        <b/>
        <sz val="11"/>
        <color theme="1"/>
        <rFont val="Calibri"/>
        <family val="2"/>
        <scheme val="minor"/>
      </rPr>
      <t xml:space="preserve">+ΔN 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</si>
  <si>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-ΔN 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</si>
  <si>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+ΔN </t>
    </r>
  </si>
  <si>
    <t>direzione x</t>
  </si>
  <si>
    <t>PREDIMENSIONAMENTO PILASTRO</t>
  </si>
  <si>
    <t>Resistenza a compressione caratteristica del c.l.s.</t>
  </si>
  <si>
    <t>Resistenza a compressione di progetto c.l.s.</t>
  </si>
  <si>
    <r>
      <t>f</t>
    </r>
    <r>
      <rPr>
        <vertAlign val="subscript"/>
        <sz val="10"/>
        <color theme="1"/>
        <rFont val="Times New Roman"/>
        <family val="1"/>
      </rPr>
      <t>Ck</t>
    </r>
  </si>
  <si>
    <t>[MPa]</t>
  </si>
  <si>
    <r>
      <t>f</t>
    </r>
    <r>
      <rPr>
        <vertAlign val="subscript"/>
        <sz val="10"/>
        <color theme="1"/>
        <rFont val="Times New Roman"/>
        <family val="1"/>
      </rPr>
      <t>Cd</t>
    </r>
  </si>
  <si>
    <r>
      <t>N</t>
    </r>
    <r>
      <rPr>
        <vertAlign val="subscript"/>
        <sz val="10"/>
        <color theme="1"/>
        <rFont val="Times New Roman"/>
        <family val="1"/>
      </rPr>
      <t>ed</t>
    </r>
  </si>
  <si>
    <r>
      <t>Rapporto tra σ/f</t>
    </r>
    <r>
      <rPr>
        <b/>
        <vertAlign val="subscript"/>
        <sz val="10"/>
        <color theme="1"/>
        <rFont val="Times New Roman"/>
        <family val="1"/>
      </rPr>
      <t>Cd</t>
    </r>
  </si>
  <si>
    <t>Area c.l.s riferita a normale per soli c.v.</t>
  </si>
  <si>
    <r>
      <t>σ/f</t>
    </r>
    <r>
      <rPr>
        <vertAlign val="subscript"/>
        <sz val="10"/>
        <color theme="1"/>
        <rFont val="Times New Roman"/>
        <family val="1"/>
      </rPr>
      <t>Cd</t>
    </r>
  </si>
  <si>
    <r>
      <t>A</t>
    </r>
    <r>
      <rPr>
        <vertAlign val="subscript"/>
        <sz val="10"/>
        <color theme="1"/>
        <rFont val="Times New Roman"/>
        <family val="1"/>
      </rPr>
      <t>c</t>
    </r>
  </si>
  <si>
    <t>[m²]</t>
  </si>
  <si>
    <t>Altezza minima pilastro</t>
  </si>
  <si>
    <r>
      <t>h</t>
    </r>
    <r>
      <rPr>
        <vertAlign val="subscript"/>
        <sz val="10"/>
        <color theme="1"/>
        <rFont val="Times New Roman"/>
        <family val="1"/>
      </rPr>
      <t>min</t>
    </r>
  </si>
  <si>
    <t>b</t>
  </si>
  <si>
    <t>h</t>
  </si>
  <si>
    <t>Sforzo normale max da soli carichi verticali</t>
  </si>
  <si>
    <t>Sforzo normale max da soli carichi verticali in presenza di sisma</t>
  </si>
  <si>
    <t>Area c.l.s necessaria  in presenza di sisma</t>
  </si>
  <si>
    <t>DIMENSIONI MINIME AL PRIMO ORDINE</t>
  </si>
  <si>
    <t>luce media
 [m]</t>
  </si>
  <si>
    <t xml:space="preserve">Momento per c.v. in presenza di sisma </t>
  </si>
  <si>
    <t>kNm</t>
  </si>
  <si>
    <t>(coeff. che tiene conto del tipo di strutture, in qst caso intelaiate in c.a.)</t>
  </si>
  <si>
    <t xml:space="preserve">   PRE-DIMENSIONAMENTO PILASTRI</t>
  </si>
  <si>
    <t>r'</t>
  </si>
  <si>
    <t>d</t>
  </si>
  <si>
    <t>M sisma</t>
  </si>
  <si>
    <t>Momenti flettenti</t>
  </si>
  <si>
    <t>M dovuto a c.v. in pesenza di sisma</t>
  </si>
  <si>
    <t>calcolo h</t>
  </si>
  <si>
    <t>SEZIONE TRAVE</t>
  </si>
  <si>
    <t xml:space="preserve">    Travi emergenti di spina </t>
  </si>
  <si>
    <t xml:space="preserve">    Travi emergenti perimetrali </t>
  </si>
  <si>
    <t xml:space="preserve">    Travi a spessore </t>
  </si>
  <si>
    <t>copriferro</t>
  </si>
  <si>
    <t>cm</t>
  </si>
  <si>
    <t>h solaio</t>
  </si>
  <si>
    <t>calcolo b</t>
  </si>
  <si>
    <t>M dovuto a c.v. in assenza di sisma</t>
  </si>
  <si>
    <t>M totale</t>
  </si>
  <si>
    <t>COS(RADIANTI(24))</t>
  </si>
  <si>
    <t>k [kN/mm]</t>
  </si>
  <si>
    <t>pilastro</t>
  </si>
  <si>
    <t>E</t>
  </si>
  <si>
    <t>Mpa</t>
  </si>
  <si>
    <t>pilastro 30x90 con 2 travi emergenti corte</t>
  </si>
  <si>
    <t>pilastro 30x90 con 2 travi emergenti lunghe</t>
  </si>
  <si>
    <t>b 
[cm]</t>
  </si>
  <si>
    <t>Numero di pilastri</t>
  </si>
  <si>
    <t>Direzione x</t>
  </si>
  <si>
    <t>fondazione rigida</t>
  </si>
  <si>
    <t>h
[cm]</t>
  </si>
  <si>
    <r>
      <t>I [cm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]</t>
    </r>
  </si>
  <si>
    <t>lunghezza [m]</t>
  </si>
  <si>
    <t>[kN/mm]</t>
  </si>
  <si>
    <t xml:space="preserve">ORDINE </t>
  </si>
  <si>
    <t>Pilastri equivalenti</t>
  </si>
  <si>
    <t>Direzione y</t>
  </si>
  <si>
    <t>I</t>
  </si>
  <si>
    <t>II, III</t>
  </si>
  <si>
    <t>trave superiore 1</t>
  </si>
  <si>
    <t>trave superiore 2</t>
  </si>
  <si>
    <t>IV</t>
  </si>
  <si>
    <t>Sd</t>
  </si>
  <si>
    <t>Fh</t>
  </si>
  <si>
    <t>Wz</t>
  </si>
  <si>
    <t>Fi</t>
  </si>
  <si>
    <t>Vi [kN]</t>
  </si>
  <si>
    <t>dr [mm]</t>
  </si>
  <si>
    <t>u [mm]</t>
  </si>
  <si>
    <t>m [t]</t>
  </si>
  <si>
    <t>F u</t>
  </si>
  <si>
    <t>T</t>
  </si>
  <si>
    <t>s</t>
  </si>
  <si>
    <t>direzione y</t>
  </si>
  <si>
    <t>imp./ord</t>
  </si>
  <si>
    <r>
      <t>m u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</si>
  <si>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6+ torrino</t>
  </si>
  <si>
    <t>periodo proprio della struttura</t>
  </si>
  <si>
    <t>Rigidezze per forze in direzione  x</t>
  </si>
  <si>
    <t>y</t>
  </si>
  <si>
    <t>x</t>
  </si>
  <si>
    <t xml:space="preserve">ordine </t>
  </si>
  <si>
    <t xml:space="preserve"> dimensioni pilastri e armature </t>
  </si>
  <si>
    <t xml:space="preserve">armatura </t>
  </si>
  <si>
    <r>
      <t>10</t>
    </r>
    <r>
      <rPr>
        <sz val="11"/>
        <color theme="1"/>
        <rFont val="Calibri"/>
        <family val="2"/>
      </rPr>
      <t>φ20 +4φ18</t>
    </r>
    <r>
      <rPr>
        <sz val="11"/>
        <color theme="1"/>
        <rFont val="Calibri"/>
        <family val="2"/>
        <scheme val="minor"/>
      </rPr>
      <t/>
    </r>
  </si>
  <si>
    <r>
      <t>10</t>
    </r>
    <r>
      <rPr>
        <sz val="11"/>
        <color theme="1"/>
        <rFont val="Calibri"/>
        <family val="2"/>
      </rPr>
      <t>φ20 +4φ19</t>
    </r>
    <r>
      <rPr>
        <sz val="11"/>
        <color theme="1"/>
        <rFont val="Calibri"/>
        <family val="2"/>
        <scheme val="minor"/>
      </rPr>
      <t/>
    </r>
  </si>
  <si>
    <r>
      <t>10</t>
    </r>
    <r>
      <rPr>
        <sz val="11"/>
        <color theme="1"/>
        <rFont val="Calibri"/>
        <family val="2"/>
      </rPr>
      <t xml:space="preserve">φ20 </t>
    </r>
    <r>
      <rPr>
        <sz val="11"/>
        <color theme="1"/>
        <rFont val="Calibri"/>
        <family val="2"/>
        <scheme val="minor"/>
      </rPr>
      <t/>
    </r>
  </si>
  <si>
    <r>
      <t>10</t>
    </r>
    <r>
      <rPr>
        <sz val="11"/>
        <color theme="1"/>
        <rFont val="Calibri"/>
        <family val="2"/>
      </rPr>
      <t>φ20</t>
    </r>
  </si>
  <si>
    <r>
      <t>4</t>
    </r>
    <r>
      <rPr>
        <sz val="11"/>
        <color theme="1"/>
        <rFont val="Calibri"/>
        <family val="2"/>
      </rPr>
      <t>φ20 +6φ14</t>
    </r>
  </si>
  <si>
    <t xml:space="preserve"> dimensioni travi </t>
  </si>
  <si>
    <t>r1</t>
  </si>
  <si>
    <t>r2</t>
  </si>
  <si>
    <r>
      <t>EI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/L</t>
    </r>
    <r>
      <rPr>
        <vertAlign val="subscript"/>
        <sz val="11"/>
        <color theme="1"/>
        <rFont val="Calibri"/>
        <family val="2"/>
        <scheme val="minor"/>
      </rPr>
      <t>p</t>
    </r>
  </si>
  <si>
    <r>
      <t>EI</t>
    </r>
    <r>
      <rPr>
        <vertAlign val="subscript"/>
        <sz val="11"/>
        <color theme="1"/>
        <rFont val="Calibri"/>
        <family val="2"/>
        <scheme val="minor"/>
      </rPr>
      <t>t,sup</t>
    </r>
    <r>
      <rPr>
        <sz val="11"/>
        <color theme="1"/>
        <rFont val="Calibri"/>
        <family val="2"/>
        <scheme val="minor"/>
      </rPr>
      <t>/L</t>
    </r>
    <r>
      <rPr>
        <vertAlign val="subscript"/>
        <sz val="11"/>
        <color theme="1"/>
        <rFont val="Calibri"/>
        <family val="2"/>
        <scheme val="minor"/>
      </rPr>
      <t>t</t>
    </r>
  </si>
  <si>
    <r>
      <t>EI</t>
    </r>
    <r>
      <rPr>
        <vertAlign val="subscript"/>
        <sz val="11"/>
        <color theme="1"/>
        <rFont val="Calibri"/>
        <family val="2"/>
        <scheme val="minor"/>
      </rPr>
      <t>t,inf</t>
    </r>
    <r>
      <rPr>
        <sz val="11"/>
        <color theme="1"/>
        <rFont val="Calibri"/>
        <family val="2"/>
        <scheme val="minor"/>
      </rPr>
      <t>/L</t>
    </r>
    <r>
      <rPr>
        <vertAlign val="subscript"/>
        <sz val="11"/>
        <color theme="1"/>
        <rFont val="Calibri"/>
        <family val="2"/>
        <scheme val="minor"/>
      </rPr>
      <t>t</t>
    </r>
  </si>
  <si>
    <t>k(t=inf)</t>
  </si>
  <si>
    <t>riduzione</t>
  </si>
  <si>
    <t>k
[kN/mm]</t>
  </si>
  <si>
    <t>trave inferiore 1</t>
  </si>
  <si>
    <t>trave inferiore 2</t>
  </si>
  <si>
    <t xml:space="preserve">pilastro 30x90 con 1 trave emergente </t>
  </si>
  <si>
    <t xml:space="preserve">   DIMENSIONAMENTO TRAVI EMERGENTI E TRAVI A SPESSORE  I IMPALCATO</t>
  </si>
  <si>
    <t>TRAVE 23-24</t>
  </si>
  <si>
    <t>TRAVE 3- 4</t>
  </si>
  <si>
    <t>TRAVE 14-15</t>
  </si>
  <si>
    <t>TRAVE 15-16</t>
  </si>
  <si>
    <t xml:space="preserve">   DIMENSIONAMENTO TRAVI EMERGENTI E TRAVI A SPESSORE III IMPALCATO</t>
  </si>
  <si>
    <t xml:space="preserve">   DIMENSIONAMENTO TRAVI EMERGENTI E TRAVI A SPESSORE II IMPALCATO</t>
  </si>
  <si>
    <t xml:space="preserve">   DIMENSIONAMENTO TRAVI EMERGENTI E TRAVI A SPESSORE IV,V,VI IMPALCATO</t>
  </si>
  <si>
    <t xml:space="preserve">pilastro 90x30 con 1 trave emergente </t>
  </si>
  <si>
    <t xml:space="preserve">pilastro 30x90 con 1 travi emergente </t>
  </si>
  <si>
    <t xml:space="preserve">pilastro 30x90 con 2 travi emergenti </t>
  </si>
  <si>
    <t>pilastro 90x30 con 1 trave a spessore</t>
  </si>
  <si>
    <t>pilastro 90x30 con 2 trave a spessore</t>
  </si>
  <si>
    <t>Rigidezze per forze in direzione  y</t>
  </si>
  <si>
    <t>coordinate centro di rigidezza</t>
  </si>
  <si>
    <r>
      <t>y</t>
    </r>
    <r>
      <rPr>
        <b/>
        <vertAlign val="subscript"/>
        <sz val="14"/>
        <color rgb="FFFF0000"/>
        <rFont val="Calibri"/>
        <family val="2"/>
        <scheme val="minor"/>
      </rPr>
      <t>Gk</t>
    </r>
  </si>
  <si>
    <r>
      <t>x</t>
    </r>
    <r>
      <rPr>
        <b/>
        <vertAlign val="subscript"/>
        <sz val="14"/>
        <color rgb="FFFF0000"/>
        <rFont val="Calibri"/>
        <family val="2"/>
        <scheme val="minor"/>
      </rPr>
      <t>Gk</t>
    </r>
  </si>
  <si>
    <t>Sx</t>
  </si>
  <si>
    <r>
      <t>Sx</t>
    </r>
    <r>
      <rPr>
        <vertAlign val="superscript"/>
        <sz val="11"/>
        <color theme="1"/>
        <rFont val="Calibri"/>
        <family val="2"/>
        <scheme val="minor"/>
      </rPr>
      <t>2</t>
    </r>
  </si>
  <si>
    <t>ORDINE I</t>
  </si>
  <si>
    <t>Ky</t>
  </si>
  <si>
    <t>kx</t>
  </si>
  <si>
    <t>Sy</t>
  </si>
  <si>
    <r>
      <t>Sy</t>
    </r>
    <r>
      <rPr>
        <vertAlign val="superscript"/>
        <sz val="11"/>
        <color theme="1"/>
        <rFont val="Calibri"/>
        <family val="2"/>
        <scheme val="minor"/>
      </rPr>
      <t>2</t>
    </r>
  </si>
  <si>
    <t>ORDINE II,III</t>
  </si>
  <si>
    <t>ORDINE IV</t>
  </si>
  <si>
    <t>VI</t>
  </si>
  <si>
    <t>ORDINE V</t>
  </si>
  <si>
    <t>ORDINE VI</t>
  </si>
  <si>
    <t>;CARICHI VERTICALI SENZA SISMA</t>
  </si>
  <si>
    <t>0:1</t>
  </si>
  <si>
    <t>;telaio1</t>
  </si>
  <si>
    <t>;impalcato 6</t>
  </si>
  <si>
    <t>;impalcato 5</t>
  </si>
  <si>
    <t>;impalcato 4</t>
  </si>
  <si>
    <t>;impalcato 3</t>
  </si>
  <si>
    <t>;impalcato 2</t>
  </si>
  <si>
    <t>;impalcato 1</t>
  </si>
  <si>
    <t>1:0:0:0</t>
  </si>
  <si>
    <t>;telaio2</t>
  </si>
  <si>
    <t>;telaio3</t>
  </si>
  <si>
    <t>:</t>
  </si>
  <si>
    <t>;telaio4</t>
  </si>
  <si>
    <t>;telaio5</t>
  </si>
  <si>
    <t>;telaio6</t>
  </si>
  <si>
    <t>solaio piano tipo</t>
  </si>
  <si>
    <t>solaio copertura</t>
  </si>
  <si>
    <t>solaio torrino</t>
  </si>
  <si>
    <t>SOLAIO (piano tipo)</t>
  </si>
  <si>
    <t>SOLAIO (copertura)</t>
  </si>
  <si>
    <t xml:space="preserve"> NTC (sola manutenzione)</t>
  </si>
  <si>
    <t>trave emergente 30x75</t>
  </si>
  <si>
    <t>trave a spessore 50x26</t>
  </si>
  <si>
    <t>tamponatura sup</t>
  </si>
  <si>
    <t xml:space="preserve">tramezzi sup </t>
  </si>
  <si>
    <t>tramezzi inf</t>
  </si>
  <si>
    <t>pilastri sup 30x80</t>
  </si>
  <si>
    <t>pilastri inf 30x80</t>
  </si>
  <si>
    <r>
      <t>kN</t>
    </r>
    <r>
      <rPr>
        <sz val="11"/>
        <color theme="1"/>
        <rFont val="Calibri"/>
        <family val="2"/>
        <scheme val="minor"/>
      </rPr>
      <t/>
    </r>
  </si>
  <si>
    <t>peso cv</t>
  </si>
  <si>
    <t>peso con sisma</t>
  </si>
  <si>
    <t xml:space="preserve">   IMPALCATO II,III</t>
  </si>
  <si>
    <t>tamponatura inf</t>
  </si>
  <si>
    <r>
      <t>sup.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</si>
  <si>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 xml:space="preserve">lung. [m] </t>
  </si>
  <si>
    <t>num..</t>
  </si>
  <si>
    <t>PESO totale</t>
  </si>
  <si>
    <t>MASSA  totale</t>
  </si>
  <si>
    <t>PESO per unità di sup.</t>
  </si>
  <si>
    <t xml:space="preserve">   IMPALCATO IV</t>
  </si>
  <si>
    <t>pilastri sup 30x70</t>
  </si>
  <si>
    <t>trave emergente 30x65</t>
  </si>
  <si>
    <t xml:space="preserve">   IMPALCATO V</t>
  </si>
  <si>
    <t>pilastri inf 30x70</t>
  </si>
  <si>
    <t xml:space="preserve">   IMPALCATO VI</t>
  </si>
  <si>
    <t xml:space="preserve">  Torrino scale</t>
  </si>
  <si>
    <t>solaio di copertura</t>
  </si>
  <si>
    <t>cornicione</t>
  </si>
  <si>
    <t>trave emergente 30x50</t>
  </si>
  <si>
    <t xml:space="preserve">   IMPALCATO I</t>
  </si>
  <si>
    <r>
      <t>superficie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</si>
  <si>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peso  impalcato
stimato [kN]</t>
  </si>
  <si>
    <t>peso  impalcato
effettivo [kN]</t>
  </si>
  <si>
    <r>
      <t>peso medio 
a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effettivo</t>
    </r>
  </si>
  <si>
    <r>
      <t>peso medio 
a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stimato</t>
    </r>
  </si>
  <si>
    <t>Carico su travi a parallele all'orditura del solaio COPERTURA</t>
  </si>
  <si>
    <t>PIANO TIPO</t>
  </si>
  <si>
    <t>PIANO COPERTURA</t>
  </si>
  <si>
    <t>;telaio7</t>
  </si>
  <si>
    <t>;telaio8</t>
  </si>
  <si>
    <t>;telaio9</t>
  </si>
  <si>
    <t>;telaio10</t>
  </si>
  <si>
    <t>;telaio11</t>
  </si>
  <si>
    <t xml:space="preserve"> solaio a dx o sx</t>
  </si>
  <si>
    <t>campata 2-5 , 23-28,3-8, 26-29       trave emergente</t>
  </si>
  <si>
    <t>;telaio12</t>
  </si>
  <si>
    <t>;telaio13</t>
  </si>
  <si>
    <t>;telaio14</t>
  </si>
  <si>
    <t>campata 6-15,7-16        trave a spessore</t>
  </si>
  <si>
    <t>scala a sinistra</t>
  </si>
  <si>
    <t>;telaio15</t>
  </si>
  <si>
    <t>;telaio16</t>
  </si>
  <si>
    <t>;telaio17</t>
  </si>
  <si>
    <t>;telaio18</t>
  </si>
  <si>
    <t>;telaio19</t>
  </si>
  <si>
    <t>;CARICHI VERTICALI CON SISMA</t>
  </si>
  <si>
    <t>Azioni eccentriche</t>
  </si>
  <si>
    <r>
      <t>e</t>
    </r>
    <r>
      <rPr>
        <vertAlign val="subscript"/>
        <sz val="11"/>
        <color theme="1"/>
        <rFont val="Calibri"/>
        <family val="2"/>
        <scheme val="minor"/>
      </rPr>
      <t>x</t>
    </r>
  </si>
  <si>
    <r>
      <t>M</t>
    </r>
    <r>
      <rPr>
        <vertAlign val="subscript"/>
        <sz val="11"/>
        <color theme="1"/>
        <rFont val="Calibri"/>
        <family val="2"/>
        <scheme val="minor"/>
      </rPr>
      <t>x</t>
    </r>
  </si>
  <si>
    <r>
      <t>e</t>
    </r>
    <r>
      <rPr>
        <b/>
        <vertAlign val="subscript"/>
        <sz val="11"/>
        <color theme="1"/>
        <rFont val="Calibri"/>
        <family val="2"/>
        <scheme val="minor"/>
      </rPr>
      <t>y</t>
    </r>
  </si>
  <si>
    <r>
      <t>M</t>
    </r>
    <r>
      <rPr>
        <vertAlign val="subscript"/>
        <sz val="11"/>
        <color theme="1"/>
        <rFont val="Calibri"/>
        <family val="2"/>
        <scheme val="minor"/>
      </rPr>
      <t>Y</t>
    </r>
  </si>
  <si>
    <t>con 6 fi 20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</si>
</sst>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0.0E+00"/>
  </numFmts>
  <fonts count="5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2"/>
      <color theme="1"/>
      <name val="Calibri"/>
      <family val="2"/>
      <scheme val="minor"/>
    </font>
    <font>
      <i/>
      <u/>
      <sz val="11"/>
      <color theme="1"/>
      <name val="Calibri Light"/>
      <family val="2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i/>
      <sz val="12"/>
      <color theme="1"/>
      <name val="Calibri"/>
      <family val="2"/>
      <scheme val="minor"/>
    </font>
    <font>
      <sz val="16"/>
      <color rgb="FF002060"/>
      <name val="Arial Rounded MT Bold"/>
      <family val="2"/>
    </font>
    <font>
      <sz val="9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color rgb="FFFF0000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</font>
    <font>
      <sz val="8"/>
      <name val="Arial"/>
      <family val="2"/>
    </font>
    <font>
      <sz val="10"/>
      <color rgb="FF0070C0"/>
      <name val="Arial"/>
      <family val="2"/>
    </font>
    <font>
      <sz val="10"/>
      <color rgb="FF0000FF"/>
      <name val="Arial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b/>
      <sz val="14"/>
      <color rgb="FFFF0000"/>
      <name val="Calibri"/>
      <family val="2"/>
      <scheme val="minor"/>
    </font>
    <font>
      <b/>
      <vertAlign val="subscript"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B9E8FF"/>
        <bgColor indexed="64"/>
      </patternFill>
    </fill>
    <fill>
      <patternFill patternType="solid">
        <fgColor rgb="FF76B3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medium">
        <color rgb="FFC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theme="1"/>
      </left>
      <right/>
      <top style="medium">
        <color auto="1"/>
      </top>
      <bottom style="thin">
        <color theme="1"/>
      </bottom>
      <diagonal/>
    </border>
    <border>
      <left/>
      <right/>
      <top style="medium">
        <color auto="1"/>
      </top>
      <bottom style="thin">
        <color theme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 style="medium">
        <color auto="1"/>
      </bottom>
      <diagonal/>
    </border>
    <border>
      <left/>
      <right style="medium">
        <color theme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auto="1"/>
      </bottom>
      <diagonal/>
    </border>
    <border>
      <left/>
      <right/>
      <top style="medium">
        <color theme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25" applyNumberFormat="0" applyFill="0" applyAlignment="0" applyProtection="0"/>
    <xf numFmtId="0" fontId="27" fillId="0" borderId="0" applyNumberFormat="0" applyFill="0" applyBorder="0" applyAlignment="0" applyProtection="0"/>
    <xf numFmtId="0" fontId="26" fillId="11" borderId="0" applyNumberFormat="0" applyBorder="0" applyAlignment="0" applyProtection="0"/>
    <xf numFmtId="2" fontId="47" fillId="0" borderId="0" applyFill="0" applyBorder="0">
      <alignment horizontal="center"/>
    </xf>
  </cellStyleXfs>
  <cellXfs count="494">
    <xf numFmtId="0" fontId="0" fillId="0" borderId="0" xfId="0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18" xfId="0" applyBorder="1"/>
    <xf numFmtId="2" fontId="0" fillId="0" borderId="0" xfId="0" applyNumberFormat="1" applyBorder="1"/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/>
    <xf numFmtId="0" fontId="0" fillId="0" borderId="21" xfId="0" applyBorder="1"/>
    <xf numFmtId="0" fontId="7" fillId="0" borderId="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0" fontId="0" fillId="0" borderId="22" xfId="0" applyBorder="1" applyAlignment="1"/>
    <xf numFmtId="0" fontId="0" fillId="0" borderId="19" xfId="0" applyBorder="1" applyAlignment="1"/>
    <xf numFmtId="0" fontId="0" fillId="0" borderId="0" xfId="0" applyBorder="1" applyAlignment="1"/>
    <xf numFmtId="2" fontId="0" fillId="0" borderId="0" xfId="0" applyNumberFormat="1" applyBorder="1" applyAlignment="1"/>
    <xf numFmtId="0" fontId="1" fillId="0" borderId="20" xfId="0" applyFont="1" applyBorder="1"/>
    <xf numFmtId="0" fontId="1" fillId="0" borderId="18" xfId="0" applyFont="1" applyBorder="1"/>
    <xf numFmtId="165" fontId="0" fillId="0" borderId="0" xfId="0" applyNumberFormat="1" applyBorder="1" applyAlignment="1">
      <alignment horizontal="center"/>
    </xf>
    <xf numFmtId="0" fontId="1" fillId="0" borderId="0" xfId="0" applyFont="1" applyBorder="1"/>
    <xf numFmtId="0" fontId="0" fillId="0" borderId="1" xfId="0" applyBorder="1"/>
    <xf numFmtId="0" fontId="11" fillId="0" borderId="3" xfId="0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0" fontId="0" fillId="0" borderId="20" xfId="0" applyBorder="1"/>
    <xf numFmtId="165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5" xfId="0" applyFill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6" fillId="0" borderId="1" xfId="0" applyFont="1" applyBorder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3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5" borderId="0" xfId="0" applyFill="1" applyBorder="1"/>
    <xf numFmtId="0" fontId="0" fillId="5" borderId="3" xfId="0" applyFill="1" applyBorder="1"/>
    <xf numFmtId="0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5" borderId="7" xfId="0" applyFill="1" applyBorder="1"/>
    <xf numFmtId="0" fontId="0" fillId="5" borderId="8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5" borderId="7" xfId="0" applyNumberFormat="1" applyFill="1" applyBorder="1" applyAlignment="1"/>
    <xf numFmtId="165" fontId="0" fillId="5" borderId="4" xfId="0" applyNumberFormat="1" applyFill="1" applyBorder="1" applyAlignment="1"/>
    <xf numFmtId="165" fontId="0" fillId="5" borderId="0" xfId="0" applyNumberFormat="1" applyFill="1" applyBorder="1" applyAlignment="1"/>
    <xf numFmtId="166" fontId="0" fillId="0" borderId="0" xfId="0" applyNumberForma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165" fontId="0" fillId="0" borderId="19" xfId="0" applyNumberFormat="1" applyBorder="1" applyAlignment="1">
      <alignment horizontal="center" vertical="center"/>
    </xf>
    <xf numFmtId="165" fontId="19" fillId="0" borderId="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0" fillId="0" borderId="19" xfId="0" applyNumberFormat="1" applyBorder="1"/>
    <xf numFmtId="165" fontId="0" fillId="0" borderId="21" xfId="0" applyNumberFormat="1" applyBorder="1"/>
    <xf numFmtId="0" fontId="0" fillId="0" borderId="0" xfId="0" applyBorder="1" applyAlignment="1">
      <alignment horizontal="right"/>
    </xf>
    <xf numFmtId="165" fontId="18" fillId="0" borderId="21" xfId="0" applyNumberFormat="1" applyFont="1" applyBorder="1" applyAlignment="1">
      <alignment horizontal="left"/>
    </xf>
    <xf numFmtId="165" fontId="0" fillId="0" borderId="1" xfId="0" applyNumberFormat="1" applyBorder="1" applyAlignment="1">
      <alignment horizontal="center" vertical="center"/>
    </xf>
    <xf numFmtId="165" fontId="18" fillId="0" borderId="19" xfId="0" applyNumberFormat="1" applyFont="1" applyBorder="1" applyAlignment="1">
      <alignment horizontal="left"/>
    </xf>
    <xf numFmtId="0" fontId="23" fillId="5" borderId="26" xfId="0" applyFont="1" applyFill="1" applyBorder="1" applyAlignment="1">
      <alignment horizontal="center" vertical="center" wrapText="1"/>
    </xf>
    <xf numFmtId="49" fontId="23" fillId="5" borderId="27" xfId="0" applyNumberFormat="1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 wrapText="1"/>
    </xf>
    <xf numFmtId="0" fontId="25" fillId="5" borderId="30" xfId="0" applyFont="1" applyFill="1" applyBorder="1" applyAlignment="1">
      <alignment horizontal="center" vertical="center" wrapText="1"/>
    </xf>
    <xf numFmtId="0" fontId="25" fillId="5" borderId="32" xfId="0" applyFont="1" applyFill="1" applyBorder="1" applyAlignment="1">
      <alignment horizontal="center" vertical="center" wrapText="1"/>
    </xf>
    <xf numFmtId="0" fontId="25" fillId="5" borderId="34" xfId="0" applyFont="1" applyFill="1" applyBorder="1" applyAlignment="1">
      <alignment horizontal="center" vertical="center" wrapText="1"/>
    </xf>
    <xf numFmtId="0" fontId="25" fillId="5" borderId="36" xfId="0" applyFont="1" applyFill="1" applyBorder="1" applyAlignment="1">
      <alignment vertical="center"/>
    </xf>
    <xf numFmtId="0" fontId="25" fillId="5" borderId="37" xfId="0" applyFont="1" applyFill="1" applyBorder="1" applyAlignment="1">
      <alignment horizontal="center" vertical="center"/>
    </xf>
    <xf numFmtId="0" fontId="25" fillId="5" borderId="38" xfId="0" applyFont="1" applyFill="1" applyBorder="1" applyAlignment="1">
      <alignment horizontal="left" vertical="center"/>
    </xf>
    <xf numFmtId="0" fontId="25" fillId="5" borderId="35" xfId="0" applyFont="1" applyFill="1" applyBorder="1" applyAlignment="1">
      <alignment horizontal="center" vertical="center"/>
    </xf>
    <xf numFmtId="165" fontId="25" fillId="5" borderId="29" xfId="0" applyNumberFormat="1" applyFont="1" applyFill="1" applyBorder="1" applyAlignment="1">
      <alignment horizontal="center" vertical="center" wrapText="1"/>
    </xf>
    <xf numFmtId="165" fontId="25" fillId="5" borderId="31" xfId="0" applyNumberFormat="1" applyFont="1" applyFill="1" applyBorder="1" applyAlignment="1">
      <alignment horizontal="center" vertical="center" wrapText="1"/>
    </xf>
    <xf numFmtId="165" fontId="25" fillId="5" borderId="33" xfId="0" applyNumberFormat="1" applyFont="1" applyFill="1" applyBorder="1" applyAlignment="1">
      <alignment horizontal="center" vertical="center" wrapText="1"/>
    </xf>
    <xf numFmtId="165" fontId="25" fillId="5" borderId="37" xfId="0" applyNumberFormat="1" applyFont="1" applyFill="1" applyBorder="1" applyAlignment="1">
      <alignment horizontal="center" vertical="center"/>
    </xf>
    <xf numFmtId="165" fontId="25" fillId="5" borderId="35" xfId="0" applyNumberFormat="1" applyFont="1" applyFill="1" applyBorder="1" applyAlignment="1">
      <alignment horizontal="center" vertical="center"/>
    </xf>
    <xf numFmtId="165" fontId="25" fillId="5" borderId="41" xfId="0" applyNumberFormat="1" applyFont="1" applyFill="1" applyBorder="1" applyAlignment="1">
      <alignment horizontal="center" vertical="center"/>
    </xf>
    <xf numFmtId="0" fontId="25" fillId="5" borderId="41" xfId="0" applyFont="1" applyFill="1" applyBorder="1" applyAlignment="1">
      <alignment horizontal="center" vertical="center" wrapText="1"/>
    </xf>
    <xf numFmtId="165" fontId="25" fillId="5" borderId="42" xfId="0" applyNumberFormat="1" applyFont="1" applyFill="1" applyBorder="1" applyAlignment="1">
      <alignment horizontal="center" vertical="center"/>
    </xf>
    <xf numFmtId="165" fontId="25" fillId="5" borderId="44" xfId="0" applyNumberFormat="1" applyFont="1" applyFill="1" applyBorder="1" applyAlignment="1">
      <alignment horizontal="center" vertical="center"/>
    </xf>
    <xf numFmtId="0" fontId="25" fillId="5" borderId="43" xfId="0" applyFont="1" applyFill="1" applyBorder="1" applyAlignment="1">
      <alignment horizontal="center" vertical="center" wrapText="1"/>
    </xf>
    <xf numFmtId="165" fontId="25" fillId="5" borderId="40" xfId="0" applyNumberFormat="1" applyFont="1" applyFill="1" applyBorder="1" applyAlignment="1">
      <alignment horizontal="center" vertical="center"/>
    </xf>
    <xf numFmtId="0" fontId="25" fillId="10" borderId="12" xfId="0" applyFont="1" applyFill="1" applyBorder="1" applyAlignment="1">
      <alignment horizontal="left" vertical="center"/>
    </xf>
    <xf numFmtId="0" fontId="23" fillId="10" borderId="13" xfId="0" applyFont="1" applyFill="1" applyBorder="1" applyAlignment="1">
      <alignment horizontal="center" vertical="center"/>
    </xf>
    <xf numFmtId="0" fontId="23" fillId="10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5" fillId="5" borderId="1" xfId="3" applyFont="1" applyFill="1" applyBorder="1" applyAlignment="1">
      <alignment horizontal="center" vertical="center"/>
    </xf>
    <xf numFmtId="2" fontId="25" fillId="5" borderId="1" xfId="3" applyNumberFormat="1" applyFont="1" applyFill="1" applyBorder="1" applyAlignment="1">
      <alignment horizontal="center" vertical="center"/>
    </xf>
    <xf numFmtId="0" fontId="25" fillId="5" borderId="0" xfId="0" applyFont="1" applyFill="1" applyBorder="1" applyAlignment="1">
      <alignment horizontal="left" vertical="center"/>
    </xf>
    <xf numFmtId="0" fontId="25" fillId="5" borderId="1" xfId="3" applyFont="1" applyFill="1" applyBorder="1" applyAlignment="1">
      <alignment horizontal="left" vertical="center"/>
    </xf>
    <xf numFmtId="0" fontId="23" fillId="5" borderId="0" xfId="3" applyFont="1" applyFill="1" applyBorder="1" applyAlignment="1">
      <alignment horizontal="center" vertical="center"/>
    </xf>
    <xf numFmtId="0" fontId="25" fillId="5" borderId="51" xfId="3" applyFont="1" applyFill="1" applyBorder="1" applyAlignment="1">
      <alignment horizontal="center" vertical="center"/>
    </xf>
    <xf numFmtId="0" fontId="25" fillId="5" borderId="53" xfId="3" applyFont="1" applyFill="1" applyBorder="1" applyAlignment="1">
      <alignment horizontal="center" vertical="center"/>
    </xf>
    <xf numFmtId="0" fontId="25" fillId="5" borderId="54" xfId="3" applyFont="1" applyFill="1" applyBorder="1" applyAlignment="1">
      <alignment horizontal="center" vertical="center"/>
    </xf>
    <xf numFmtId="0" fontId="25" fillId="5" borderId="56" xfId="3" applyFont="1" applyFill="1" applyBorder="1" applyAlignment="1">
      <alignment horizontal="center" vertical="center"/>
    </xf>
    <xf numFmtId="2" fontId="28" fillId="5" borderId="52" xfId="3" applyNumberFormat="1" applyFont="1" applyFill="1" applyBorder="1" applyAlignment="1">
      <alignment horizontal="center" vertical="center"/>
    </xf>
    <xf numFmtId="2" fontId="28" fillId="5" borderId="5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0" fillId="0" borderId="6" xfId="0" applyFill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/>
    </xf>
    <xf numFmtId="0" fontId="3" fillId="5" borderId="58" xfId="0" applyFont="1" applyFill="1" applyBorder="1"/>
    <xf numFmtId="2" fontId="32" fillId="0" borderId="0" xfId="0" applyNumberFormat="1" applyFont="1" applyAlignment="1">
      <alignment horizontal="center"/>
    </xf>
    <xf numFmtId="0" fontId="0" fillId="0" borderId="39" xfId="0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1" xfId="0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3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4" fillId="0" borderId="0" xfId="0" applyFont="1" applyAlignment="1">
      <alignment horizontal="right"/>
    </xf>
    <xf numFmtId="0" fontId="1" fillId="5" borderId="57" xfId="0" applyFont="1" applyFill="1" applyBorder="1" applyAlignment="1">
      <alignment vertical="center"/>
    </xf>
    <xf numFmtId="2" fontId="37" fillId="0" borderId="21" xfId="0" applyNumberFormat="1" applyFont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4" fillId="0" borderId="0" xfId="0" applyFont="1"/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8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1" fillId="13" borderId="0" xfId="0" applyNumberFormat="1" applyFont="1" applyFill="1" applyAlignment="1">
      <alignment horizontal="center" vertical="center"/>
    </xf>
    <xf numFmtId="165" fontId="0" fillId="0" borderId="0" xfId="0" applyNumberFormat="1"/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42" fillId="0" borderId="0" xfId="0" applyFont="1" applyBorder="1" applyAlignment="1">
      <alignment horizontal="center"/>
    </xf>
    <xf numFmtId="2" fontId="4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5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2" fontId="43" fillId="0" borderId="0" xfId="0" applyNumberFormat="1" applyFont="1" applyFill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44" fillId="0" borderId="1" xfId="0" applyFont="1" applyBorder="1"/>
    <xf numFmtId="0" fontId="31" fillId="0" borderId="1" xfId="0" applyFont="1" applyBorder="1"/>
    <xf numFmtId="0" fontId="42" fillId="0" borderId="24" xfId="0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43" fillId="0" borderId="2" xfId="0" applyNumberFormat="1" applyFon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0" fontId="0" fillId="0" borderId="2" xfId="0" applyBorder="1"/>
    <xf numFmtId="165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42" fillId="0" borderId="18" xfId="0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47" fillId="0" borderId="18" xfId="0" applyFont="1" applyBorder="1" applyAlignment="1">
      <alignment horizontal="center"/>
    </xf>
    <xf numFmtId="167" fontId="0" fillId="0" borderId="0" xfId="0" applyNumberFormat="1" applyBorder="1"/>
    <xf numFmtId="2" fontId="31" fillId="0" borderId="0" xfId="0" applyNumberFormat="1" applyFont="1" applyBorder="1" applyAlignment="1">
      <alignment horizontal="center"/>
    </xf>
    <xf numFmtId="0" fontId="47" fillId="0" borderId="20" xfId="0" applyFont="1" applyBorder="1" applyAlignment="1">
      <alignment horizontal="center"/>
    </xf>
    <xf numFmtId="0" fontId="47" fillId="0" borderId="3" xfId="0" applyFont="1" applyBorder="1" applyAlignment="1">
      <alignment horizontal="center"/>
    </xf>
    <xf numFmtId="0" fontId="45" fillId="0" borderId="3" xfId="0" applyFont="1" applyBorder="1" applyAlignment="1">
      <alignment horizontal="center"/>
    </xf>
    <xf numFmtId="167" fontId="0" fillId="0" borderId="3" xfId="0" applyNumberFormat="1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34" fillId="0" borderId="0" xfId="0" applyFont="1" applyAlignment="1">
      <alignment horizontal="center"/>
    </xf>
    <xf numFmtId="0" fontId="44" fillId="0" borderId="7" xfId="0" applyFont="1" applyBorder="1"/>
    <xf numFmtId="0" fontId="31" fillId="0" borderId="7" xfId="0" applyFont="1" applyBorder="1"/>
    <xf numFmtId="2" fontId="3" fillId="0" borderId="2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14" borderId="0" xfId="0" applyFill="1"/>
    <xf numFmtId="1" fontId="0" fillId="0" borderId="19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2" fontId="1" fillId="5" borderId="12" xfId="0" applyNumberFormat="1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1" fontId="42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2" fillId="0" borderId="20" xfId="0" applyFont="1" applyBorder="1" applyAlignment="1">
      <alignment horizontal="center"/>
    </xf>
    <xf numFmtId="0" fontId="42" fillId="0" borderId="3" xfId="0" applyFont="1" applyBorder="1" applyAlignment="1">
      <alignment horizontal="center"/>
    </xf>
    <xf numFmtId="2" fontId="43" fillId="0" borderId="3" xfId="0" applyNumberFormat="1" applyFont="1" applyFill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1" fillId="5" borderId="0" xfId="0" applyFont="1" applyFill="1" applyBorder="1" applyAlignment="1">
      <alignment vertical="center"/>
    </xf>
    <xf numFmtId="2" fontId="37" fillId="0" borderId="0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2" fontId="1" fillId="13" borderId="0" xfId="0" applyNumberFormat="1" applyFont="1" applyFill="1" applyBorder="1" applyAlignment="1">
      <alignment horizontal="center" vertical="center"/>
    </xf>
    <xf numFmtId="0" fontId="0" fillId="0" borderId="23" xfId="0" applyBorder="1"/>
    <xf numFmtId="2" fontId="1" fillId="13" borderId="19" xfId="0" applyNumberFormat="1" applyFont="1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37" fillId="0" borderId="0" xfId="0" applyFont="1" applyAlignment="1">
      <alignment horizontal="center"/>
    </xf>
    <xf numFmtId="165" fontId="37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15" borderId="61" xfId="0" applyFill="1" applyBorder="1" applyAlignment="1">
      <alignment horizontal="center" vertical="center"/>
    </xf>
    <xf numFmtId="0" fontId="0" fillId="15" borderId="62" xfId="0" applyFill="1" applyBorder="1" applyAlignment="1">
      <alignment horizontal="center" vertical="center"/>
    </xf>
    <xf numFmtId="0" fontId="0" fillId="15" borderId="63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/>
    </xf>
    <xf numFmtId="0" fontId="0" fillId="15" borderId="13" xfId="0" applyFill="1" applyBorder="1" applyAlignment="1">
      <alignment horizontal="center"/>
    </xf>
    <xf numFmtId="0" fontId="0" fillId="15" borderId="14" xfId="0" applyFill="1" applyBorder="1" applyAlignment="1">
      <alignment horizontal="center"/>
    </xf>
    <xf numFmtId="1" fontId="3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 vertical="center"/>
    </xf>
    <xf numFmtId="2" fontId="37" fillId="0" borderId="0" xfId="0" applyNumberFormat="1" applyFont="1" applyAlignment="1">
      <alignment horizontal="center"/>
    </xf>
    <xf numFmtId="2" fontId="1" fillId="16" borderId="0" xfId="0" applyNumberFormat="1" applyFont="1" applyFill="1" applyAlignment="1">
      <alignment horizontal="center" vertical="center"/>
    </xf>
    <xf numFmtId="2" fontId="1" fillId="16" borderId="19" xfId="0" applyNumberFormat="1" applyFont="1" applyFill="1" applyBorder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  <xf numFmtId="2" fontId="1" fillId="6" borderId="19" xfId="0" applyNumberFormat="1" applyFont="1" applyFill="1" applyBorder="1" applyAlignment="1">
      <alignment horizontal="center" vertical="center"/>
    </xf>
    <xf numFmtId="2" fontId="1" fillId="9" borderId="0" xfId="0" applyNumberFormat="1" applyFont="1" applyFill="1" applyAlignment="1">
      <alignment horizontal="center" vertical="center"/>
    </xf>
    <xf numFmtId="2" fontId="1" fillId="9" borderId="19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0" fillId="0" borderId="0" xfId="0" quotePrefix="1"/>
    <xf numFmtId="0" fontId="0" fillId="0" borderId="0" xfId="0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5" xfId="0" applyBorder="1"/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0" fillId="0" borderId="7" xfId="0" applyBorder="1" applyAlignment="1"/>
    <xf numFmtId="0" fontId="0" fillId="0" borderId="4" xfId="0" applyBorder="1" applyAlignment="1"/>
    <xf numFmtId="0" fontId="0" fillId="0" borderId="1" xfId="0" applyFill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10" fillId="0" borderId="18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18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" fillId="8" borderId="24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23" xfId="0" applyFont="1" applyFill="1" applyBorder="1" applyAlignment="1">
      <alignment horizontal="center"/>
    </xf>
    <xf numFmtId="0" fontId="51" fillId="17" borderId="15" xfId="0" applyFont="1" applyFill="1" applyBorder="1" applyAlignment="1">
      <alignment horizontal="center"/>
    </xf>
    <xf numFmtId="0" fontId="51" fillId="17" borderId="16" xfId="0" applyFont="1" applyFill="1" applyBorder="1" applyAlignment="1">
      <alignment horizontal="center"/>
    </xf>
    <xf numFmtId="0" fontId="51" fillId="17" borderId="17" xfId="0" applyFont="1" applyFill="1" applyBorder="1" applyAlignment="1">
      <alignment horizontal="center"/>
    </xf>
    <xf numFmtId="0" fontId="1" fillId="14" borderId="15" xfId="0" applyFont="1" applyFill="1" applyBorder="1" applyAlignment="1">
      <alignment horizontal="center"/>
    </xf>
    <xf numFmtId="0" fontId="1" fillId="14" borderId="16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4" borderId="24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23" xfId="0" applyFill="1" applyBorder="1" applyAlignment="1">
      <alignment horizontal="left" vertical="center"/>
    </xf>
    <xf numFmtId="0" fontId="0" fillId="4" borderId="1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/>
    </xf>
    <xf numFmtId="0" fontId="0" fillId="6" borderId="24" xfId="0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/>
    </xf>
    <xf numFmtId="0" fontId="0" fillId="6" borderId="23" xfId="0" applyFill="1" applyBorder="1" applyAlignment="1">
      <alignment horizontal="left" vertical="center"/>
    </xf>
    <xf numFmtId="0" fontId="0" fillId="6" borderId="18" xfId="0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0" fillId="6" borderId="19" xfId="0" applyFill="1" applyBorder="1" applyAlignment="1">
      <alignment horizontal="left" vertical="center"/>
    </xf>
    <xf numFmtId="0" fontId="1" fillId="0" borderId="18" xfId="0" applyFont="1" applyBorder="1" applyAlignment="1">
      <alignment horizontal="center" textRotation="90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1" fillId="0" borderId="1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3" fillId="0" borderId="18" xfId="0" applyFont="1" applyBorder="1" applyAlignment="1">
      <alignment horizontal="center" vertical="center" textRotation="90"/>
    </xf>
    <xf numFmtId="0" fontId="11" fillId="0" borderId="3" xfId="0" applyFont="1" applyBorder="1" applyAlignment="1">
      <alignment horizontal="center"/>
    </xf>
    <xf numFmtId="0" fontId="0" fillId="9" borderId="24" xfId="0" applyFill="1" applyBorder="1" applyAlignment="1">
      <alignment horizontal="left" vertical="center"/>
    </xf>
    <xf numFmtId="0" fontId="0" fillId="9" borderId="2" xfId="0" applyFill="1" applyBorder="1" applyAlignment="1">
      <alignment horizontal="left" vertical="center"/>
    </xf>
    <xf numFmtId="0" fontId="0" fillId="9" borderId="23" xfId="0" applyFill="1" applyBorder="1" applyAlignment="1">
      <alignment horizontal="left" vertical="center"/>
    </xf>
    <xf numFmtId="0" fontId="0" fillId="9" borderId="18" xfId="0" applyFill="1" applyBorder="1" applyAlignment="1">
      <alignment horizontal="left" vertical="center"/>
    </xf>
    <xf numFmtId="0" fontId="0" fillId="9" borderId="0" xfId="0" applyFill="1" applyBorder="1" applyAlignment="1">
      <alignment horizontal="left" vertical="center"/>
    </xf>
    <xf numFmtId="0" fontId="0" fillId="9" borderId="19" xfId="0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7" borderId="24" xfId="0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0" fontId="0" fillId="7" borderId="23" xfId="0" applyFill="1" applyBorder="1" applyAlignment="1">
      <alignment horizontal="left" vertical="center"/>
    </xf>
    <xf numFmtId="0" fontId="0" fillId="7" borderId="18" xfId="0" applyFill="1" applyBorder="1" applyAlignment="1">
      <alignment horizontal="left" vertical="center"/>
    </xf>
    <xf numFmtId="0" fontId="0" fillId="7" borderId="0" xfId="0" applyFill="1" applyBorder="1" applyAlignment="1">
      <alignment horizontal="left" vertical="center"/>
    </xf>
    <xf numFmtId="0" fontId="0" fillId="7" borderId="19" xfId="0" applyFill="1" applyBorder="1" applyAlignment="1">
      <alignment horizontal="left" vertical="center"/>
    </xf>
    <xf numFmtId="0" fontId="23" fillId="10" borderId="45" xfId="0" applyFont="1" applyFill="1" applyBorder="1" applyAlignment="1">
      <alignment horizontal="center" vertical="center"/>
    </xf>
    <xf numFmtId="0" fontId="23" fillId="10" borderId="46" xfId="0" applyFont="1" applyFill="1" applyBorder="1" applyAlignment="1">
      <alignment horizontal="center" vertical="center"/>
    </xf>
    <xf numFmtId="0" fontId="23" fillId="10" borderId="47" xfId="0" applyFont="1" applyFill="1" applyBorder="1" applyAlignment="1">
      <alignment horizontal="center" vertical="center"/>
    </xf>
    <xf numFmtId="49" fontId="23" fillId="5" borderId="39" xfId="0" applyNumberFormat="1" applyFont="1" applyFill="1" applyBorder="1" applyAlignment="1">
      <alignment horizontal="center" vertical="center"/>
    </xf>
    <xf numFmtId="49" fontId="23" fillId="5" borderId="40" xfId="0" applyNumberFormat="1" applyFont="1" applyFill="1" applyBorder="1" applyAlignment="1">
      <alignment horizontal="center" vertical="center"/>
    </xf>
    <xf numFmtId="49" fontId="23" fillId="5" borderId="12" xfId="1" applyNumberFormat="1" applyFont="1" applyFill="1" applyBorder="1" applyAlignment="1">
      <alignment horizontal="center" vertical="center" wrapText="1"/>
    </xf>
    <xf numFmtId="49" fontId="23" fillId="5" borderId="14" xfId="1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/>
    </xf>
    <xf numFmtId="49" fontId="23" fillId="5" borderId="14" xfId="0" applyNumberFormat="1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9" fontId="30" fillId="12" borderId="48" xfId="2" quotePrefix="1" applyNumberFormat="1" applyFont="1" applyFill="1" applyBorder="1" applyAlignment="1">
      <alignment horizontal="center" vertical="center"/>
    </xf>
    <xf numFmtId="49" fontId="30" fillId="12" borderId="49" xfId="2" quotePrefix="1" applyNumberFormat="1" applyFont="1" applyFill="1" applyBorder="1" applyAlignment="1">
      <alignment horizontal="center" vertical="center"/>
    </xf>
    <xf numFmtId="49" fontId="30" fillId="12" borderId="50" xfId="2" quotePrefix="1" applyNumberFormat="1" applyFont="1" applyFill="1" applyBorder="1" applyAlignment="1">
      <alignment horizontal="center" vertical="center"/>
    </xf>
    <xf numFmtId="0" fontId="4" fillId="5" borderId="5" xfId="3" applyFont="1" applyFill="1" applyBorder="1" applyAlignment="1">
      <alignment horizontal="center" vertical="center" wrapText="1"/>
    </xf>
    <xf numFmtId="49" fontId="30" fillId="12" borderId="12" xfId="2" applyNumberFormat="1" applyFont="1" applyFill="1" applyBorder="1" applyAlignment="1">
      <alignment horizontal="center" vertical="center" wrapText="1"/>
    </xf>
    <xf numFmtId="49" fontId="30" fillId="12" borderId="13" xfId="2" quotePrefix="1" applyNumberFormat="1" applyFont="1" applyFill="1" applyBorder="1" applyAlignment="1">
      <alignment horizontal="center" vertical="center" wrapText="1"/>
    </xf>
    <xf numFmtId="49" fontId="30" fillId="12" borderId="57" xfId="2" quotePrefix="1" applyNumberFormat="1" applyFont="1" applyFill="1" applyBorder="1" applyAlignment="1">
      <alignment horizontal="center" vertical="center" wrapText="1"/>
    </xf>
    <xf numFmtId="0" fontId="4" fillId="5" borderId="1" xfId="3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35" fillId="0" borderId="18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2" fontId="31" fillId="0" borderId="0" xfId="0" applyNumberFormat="1" applyFont="1" applyFill="1" applyBorder="1" applyAlignment="1">
      <alignment horizontal="center" vertical="center"/>
    </xf>
    <xf numFmtId="2" fontId="31" fillId="0" borderId="3" xfId="0" applyNumberFormat="1" applyFont="1" applyFill="1" applyBorder="1" applyAlignment="1">
      <alignment horizontal="center" vertical="center"/>
    </xf>
    <xf numFmtId="0" fontId="34" fillId="0" borderId="7" xfId="0" applyFont="1" applyBorder="1" applyAlignment="1">
      <alignment horizontal="center"/>
    </xf>
    <xf numFmtId="0" fontId="34" fillId="0" borderId="8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50" fillId="0" borderId="0" xfId="0" applyFont="1" applyAlignment="1">
      <alignment horizontal="center" vertical="center" textRotation="90"/>
    </xf>
    <xf numFmtId="0" fontId="35" fillId="0" borderId="0" xfId="0" applyFont="1" applyAlignment="1">
      <alignment horizontal="center"/>
    </xf>
    <xf numFmtId="0" fontId="37" fillId="15" borderId="65" xfId="0" applyFont="1" applyFill="1" applyBorder="1" applyAlignment="1">
      <alignment horizontal="center" vertical="center" wrapText="1"/>
    </xf>
    <xf numFmtId="0" fontId="37" fillId="15" borderId="27" xfId="0" applyFont="1" applyFill="1" applyBorder="1" applyAlignment="1">
      <alignment horizontal="center" vertical="center" wrapText="1"/>
    </xf>
    <xf numFmtId="0" fontId="37" fillId="15" borderId="66" xfId="0" applyFont="1" applyFill="1" applyBorder="1" applyAlignment="1">
      <alignment horizontal="center" vertical="center" wrapText="1"/>
    </xf>
    <xf numFmtId="0" fontId="37" fillId="15" borderId="0" xfId="0" applyFont="1" applyFill="1" applyBorder="1" applyAlignment="1">
      <alignment horizontal="center" vertical="center" wrapText="1"/>
    </xf>
    <xf numFmtId="0" fontId="37" fillId="15" borderId="38" xfId="0" applyFont="1" applyFill="1" applyBorder="1" applyAlignment="1">
      <alignment horizontal="center" vertical="center" wrapText="1"/>
    </xf>
    <xf numFmtId="0" fontId="37" fillId="15" borderId="35" xfId="0" applyFont="1" applyFill="1" applyBorder="1" applyAlignment="1">
      <alignment horizontal="center" vertical="center" wrapText="1"/>
    </xf>
    <xf numFmtId="0" fontId="48" fillId="1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5" fillId="0" borderId="7" xfId="0" applyFont="1" applyBorder="1" applyAlignment="1">
      <alignment horizontal="left"/>
    </xf>
    <xf numFmtId="0" fontId="35" fillId="0" borderId="8" xfId="0" applyFont="1" applyBorder="1" applyAlignment="1">
      <alignment horizontal="left"/>
    </xf>
    <xf numFmtId="0" fontId="35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5">
    <cellStyle name="20% - Colore 1" xfId="3" builtinId="30"/>
    <cellStyle name="Normale" xfId="0" builtinId="0"/>
    <cellStyle name="Stile 1" xfId="4"/>
    <cellStyle name="Titolo 2" xfId="1" builtinId="17"/>
    <cellStyle name="Titolo 4" xfId="2" builtinId="19"/>
  </cellStyles>
  <dxfs count="0"/>
  <tableStyles count="0" defaultTableStyle="TableStyleMedium2" defaultPivotStyle="PivotStyleLight16"/>
  <colors>
    <mruColors>
      <color rgb="FF3399FF"/>
      <color rgb="FF1256EE"/>
      <color rgb="FFE89B02"/>
      <color rgb="FFFFFF00"/>
      <color rgb="FFF4D914"/>
      <color rgb="FF66FFFF"/>
      <color rgb="FF00FF00"/>
      <color rgb="FF00FF99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433917</xdr:colOff>
      <xdr:row>5</xdr:row>
      <xdr:rowOff>0</xdr:rowOff>
    </xdr:from>
    <xdr:to>
      <xdr:col>23</xdr:col>
      <xdr:colOff>433916</xdr:colOff>
      <xdr:row>21</xdr:row>
      <xdr:rowOff>12700</xdr:rowOff>
    </xdr:to>
    <xdr:pic>
      <xdr:nvPicPr>
        <xdr:cNvPr id="2093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57417" y="1016000"/>
          <a:ext cx="4910666" cy="362161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8" sqref="C18"/>
    </sheetView>
  </sheetViews>
  <sheetFormatPr defaultRowHeight="1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oglio2"/>
  <dimension ref="A1:O23"/>
  <sheetViews>
    <sheetView zoomScaleNormal="100" workbookViewId="0">
      <selection activeCell="O17" sqref="O17:O22"/>
    </sheetView>
  </sheetViews>
  <sheetFormatPr defaultRowHeight="15"/>
  <cols>
    <col min="1" max="1" width="10.5703125" customWidth="1"/>
    <col min="2" max="2" width="10.140625" bestFit="1" customWidth="1"/>
    <col min="3" max="3" width="12.7109375" customWidth="1"/>
    <col min="4" max="4" width="14.5703125" customWidth="1"/>
    <col min="10" max="10" width="14.28515625" customWidth="1"/>
  </cols>
  <sheetData>
    <row r="1" spans="1:1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</row>
    <row r="2" spans="1:15">
      <c r="A2" s="7" t="s">
        <v>265</v>
      </c>
      <c r="B2" s="5">
        <f>481.7+60</f>
        <v>541.70000000000005</v>
      </c>
      <c r="C2" s="5">
        <v>9</v>
      </c>
      <c r="D2" s="4">
        <f t="shared" ref="D2:D7" si="0">B2*C2</f>
        <v>4875.3</v>
      </c>
      <c r="E2" s="4">
        <f t="shared" ref="E2:E7" si="1">D2/9.81</f>
        <v>496.97247706422019</v>
      </c>
    </row>
    <row r="3" spans="1:15">
      <c r="A3" s="7">
        <v>5</v>
      </c>
      <c r="B3" s="11">
        <v>481.7</v>
      </c>
      <c r="C3" s="5">
        <v>10</v>
      </c>
      <c r="D3" s="4">
        <f t="shared" si="0"/>
        <v>4817</v>
      </c>
      <c r="E3" s="4">
        <f t="shared" si="1"/>
        <v>491.02956167176347</v>
      </c>
    </row>
    <row r="4" spans="1:15">
      <c r="A4" s="7">
        <v>4</v>
      </c>
      <c r="B4" s="11">
        <f>B3</f>
        <v>481.7</v>
      </c>
      <c r="C4" s="5">
        <v>10</v>
      </c>
      <c r="D4" s="4">
        <f t="shared" si="0"/>
        <v>4817</v>
      </c>
      <c r="E4" s="4">
        <f t="shared" si="1"/>
        <v>491.02956167176347</v>
      </c>
    </row>
    <row r="5" spans="1:15">
      <c r="A5" s="7">
        <v>3</v>
      </c>
      <c r="B5" s="11">
        <f t="shared" ref="B5:B7" si="2">B4</f>
        <v>481.7</v>
      </c>
      <c r="C5" s="5">
        <v>10</v>
      </c>
      <c r="D5" s="4">
        <f t="shared" si="0"/>
        <v>4817</v>
      </c>
      <c r="E5" s="4">
        <f t="shared" si="1"/>
        <v>491.02956167176347</v>
      </c>
    </row>
    <row r="6" spans="1:15">
      <c r="A6" s="7">
        <v>2</v>
      </c>
      <c r="B6" s="11">
        <f t="shared" si="2"/>
        <v>481.7</v>
      </c>
      <c r="C6" s="5">
        <v>10</v>
      </c>
      <c r="D6" s="4">
        <f t="shared" si="0"/>
        <v>4817</v>
      </c>
      <c r="E6" s="4">
        <f t="shared" si="1"/>
        <v>491.02956167176347</v>
      </c>
    </row>
    <row r="7" spans="1:15">
      <c r="A7" s="7">
        <v>1</v>
      </c>
      <c r="B7" s="11">
        <f t="shared" si="2"/>
        <v>481.7</v>
      </c>
      <c r="C7" s="5">
        <v>10</v>
      </c>
      <c r="D7" s="4">
        <f t="shared" si="0"/>
        <v>4817</v>
      </c>
      <c r="E7" s="4">
        <f t="shared" si="1"/>
        <v>491.02956167176347</v>
      </c>
    </row>
    <row r="8" spans="1:15">
      <c r="A8" s="7" t="s">
        <v>21</v>
      </c>
      <c r="B8" s="341"/>
      <c r="C8" s="341"/>
      <c r="D8" s="4">
        <f>SUM(D2:D7)</f>
        <v>28960.3</v>
      </c>
      <c r="E8" s="4">
        <f>SUM(E2:E6)</f>
        <v>2461.0907237512743</v>
      </c>
    </row>
    <row r="10" spans="1:15">
      <c r="A10" s="5" t="s">
        <v>5</v>
      </c>
      <c r="B10" s="5">
        <v>7.4999999999999997E-2</v>
      </c>
      <c r="C10" t="s">
        <v>294</v>
      </c>
    </row>
    <row r="11" spans="1:15">
      <c r="A11" s="5" t="s">
        <v>6</v>
      </c>
      <c r="B11" s="5">
        <f>3.2+0.6+(3.2*5)</f>
        <v>19.8</v>
      </c>
      <c r="C11" t="s">
        <v>19</v>
      </c>
    </row>
    <row r="12" spans="1:15">
      <c r="A12" s="5" t="s">
        <v>7</v>
      </c>
      <c r="B12" s="6">
        <f>B10*B11^(3/4)</f>
        <v>0.70397973259190338</v>
      </c>
    </row>
    <row r="13" spans="1:15">
      <c r="A13" s="5" t="s">
        <v>9</v>
      </c>
      <c r="B13" s="6">
        <v>0.14000000000000001</v>
      </c>
      <c r="C13" t="s">
        <v>20</v>
      </c>
    </row>
    <row r="14" spans="1:15">
      <c r="A14" s="5" t="s">
        <v>8</v>
      </c>
      <c r="B14" s="4">
        <f>0.85*D8*B13</f>
        <v>3446.2757000000001</v>
      </c>
      <c r="C14" s="1"/>
      <c r="J14" s="342" t="s">
        <v>480</v>
      </c>
      <c r="K14" s="428"/>
      <c r="L14" s="428"/>
      <c r="M14" s="428"/>
      <c r="N14" s="428"/>
      <c r="O14" s="317">
        <f>0.05</f>
        <v>0.05</v>
      </c>
    </row>
    <row r="15" spans="1:15">
      <c r="J15" s="341"/>
      <c r="K15" s="341"/>
      <c r="L15" s="341" t="s">
        <v>321</v>
      </c>
      <c r="M15" s="341"/>
      <c r="N15" s="341" t="s">
        <v>321</v>
      </c>
      <c r="O15" s="341"/>
    </row>
    <row r="16" spans="1:15" ht="18">
      <c r="A16" s="10" t="s">
        <v>0</v>
      </c>
      <c r="B16" s="10" t="s">
        <v>10</v>
      </c>
      <c r="C16" s="10" t="s">
        <v>11</v>
      </c>
      <c r="D16" s="10" t="s">
        <v>12</v>
      </c>
      <c r="E16" s="10" t="s">
        <v>13</v>
      </c>
      <c r="F16" s="10" t="s">
        <v>14</v>
      </c>
      <c r="J16" s="316" t="s">
        <v>0</v>
      </c>
      <c r="K16" s="316" t="s">
        <v>13</v>
      </c>
      <c r="L16" s="316" t="s">
        <v>481</v>
      </c>
      <c r="M16" s="316" t="s">
        <v>482</v>
      </c>
      <c r="N16" s="316" t="s">
        <v>483</v>
      </c>
      <c r="O16" s="316" t="s">
        <v>484</v>
      </c>
    </row>
    <row r="17" spans="1:15">
      <c r="A17" s="7" t="s">
        <v>265</v>
      </c>
      <c r="B17" s="4">
        <f t="shared" ref="B17:B20" si="3">D2</f>
        <v>4875.3</v>
      </c>
      <c r="C17" s="8">
        <f>B11</f>
        <v>19.8</v>
      </c>
      <c r="D17" s="9">
        <f t="shared" ref="D17:D20" si="4">B17*C17</f>
        <v>96530.94</v>
      </c>
      <c r="E17" s="4">
        <f>D17/$D$23*$B$14</f>
        <v>972.16316620771568</v>
      </c>
      <c r="F17" s="4">
        <f>E17</f>
        <v>972.16316620771568</v>
      </c>
      <c r="J17" s="7" t="s">
        <v>265</v>
      </c>
      <c r="K17" s="4">
        <v>972.16316620771568</v>
      </c>
      <c r="L17" s="161">
        <f>27.5*$O$14</f>
        <v>1.375</v>
      </c>
      <c r="M17" s="161">
        <f>K17*L17</f>
        <v>1336.724353535609</v>
      </c>
      <c r="N17" s="161">
        <f>20.6*$O$14</f>
        <v>1.03</v>
      </c>
      <c r="O17" s="161">
        <f>K17*N17</f>
        <v>1001.3280611939472</v>
      </c>
    </row>
    <row r="18" spans="1:15">
      <c r="A18" s="7">
        <v>5</v>
      </c>
      <c r="B18" s="4">
        <f t="shared" si="3"/>
        <v>4817</v>
      </c>
      <c r="C18" s="8">
        <f>C17-3.2</f>
        <v>16.600000000000001</v>
      </c>
      <c r="D18" s="9">
        <f t="shared" si="4"/>
        <v>79962.200000000012</v>
      </c>
      <c r="E18" s="4">
        <f t="shared" ref="E18:E22" si="5">D18/$D$23*$B$14</f>
        <v>805.29937374415522</v>
      </c>
      <c r="F18" s="4">
        <f t="shared" ref="F18:F20" si="6">F17+E18</f>
        <v>1777.4625399518709</v>
      </c>
      <c r="J18" s="7">
        <v>5</v>
      </c>
      <c r="K18" s="4">
        <v>805.29937374415522</v>
      </c>
      <c r="L18" s="161">
        <f t="shared" ref="L18:L22" si="7">27.5*$O$14</f>
        <v>1.375</v>
      </c>
      <c r="M18" s="161">
        <f t="shared" ref="M18:M22" si="8">K18*L18</f>
        <v>1107.2866388982134</v>
      </c>
      <c r="N18" s="161">
        <f t="shared" ref="N18:N22" si="9">20.6*$O$14</f>
        <v>1.03</v>
      </c>
      <c r="O18" s="161">
        <f t="shared" ref="O18:O22" si="10">K18*N18</f>
        <v>829.45835495647987</v>
      </c>
    </row>
    <row r="19" spans="1:15">
      <c r="A19" s="7">
        <v>4</v>
      </c>
      <c r="B19" s="4">
        <f t="shared" si="3"/>
        <v>4817</v>
      </c>
      <c r="C19" s="8">
        <f t="shared" ref="C19:C20" si="11">C18-3.2</f>
        <v>13.400000000000002</v>
      </c>
      <c r="D19" s="9">
        <f t="shared" si="4"/>
        <v>64547.80000000001</v>
      </c>
      <c r="E19" s="4">
        <f t="shared" si="5"/>
        <v>650.06094025130608</v>
      </c>
      <c r="F19" s="4">
        <f t="shared" si="6"/>
        <v>2427.5234802031769</v>
      </c>
      <c r="J19" s="7">
        <v>4</v>
      </c>
      <c r="K19" s="4">
        <v>650.06094025130608</v>
      </c>
      <c r="L19" s="161">
        <f t="shared" si="7"/>
        <v>1.375</v>
      </c>
      <c r="M19" s="161">
        <f t="shared" si="8"/>
        <v>893.83379284554587</v>
      </c>
      <c r="N19" s="161">
        <f t="shared" si="9"/>
        <v>1.03</v>
      </c>
      <c r="O19" s="161">
        <f t="shared" si="10"/>
        <v>669.56276845884531</v>
      </c>
    </row>
    <row r="20" spans="1:15">
      <c r="A20" s="7">
        <v>3</v>
      </c>
      <c r="B20" s="4">
        <f t="shared" si="3"/>
        <v>4817</v>
      </c>
      <c r="C20" s="8">
        <f t="shared" si="11"/>
        <v>10.200000000000003</v>
      </c>
      <c r="D20" s="9">
        <f t="shared" si="4"/>
        <v>49133.400000000016</v>
      </c>
      <c r="E20" s="4">
        <f t="shared" si="5"/>
        <v>494.82250675845688</v>
      </c>
      <c r="F20" s="4">
        <f t="shared" si="6"/>
        <v>2922.3459869616336</v>
      </c>
      <c r="J20" s="7">
        <v>3</v>
      </c>
      <c r="K20" s="4">
        <v>494.82250675845688</v>
      </c>
      <c r="L20" s="161">
        <f t="shared" si="7"/>
        <v>1.375</v>
      </c>
      <c r="M20" s="161">
        <f t="shared" si="8"/>
        <v>680.38094679287826</v>
      </c>
      <c r="N20" s="161">
        <f t="shared" si="9"/>
        <v>1.03</v>
      </c>
      <c r="O20" s="161">
        <f t="shared" si="10"/>
        <v>509.66718196121059</v>
      </c>
    </row>
    <row r="21" spans="1:15">
      <c r="A21" s="7">
        <v>2</v>
      </c>
      <c r="B21" s="4">
        <f>D6</f>
        <v>4817</v>
      </c>
      <c r="C21" s="8">
        <f>C20-3.2</f>
        <v>7.0000000000000027</v>
      </c>
      <c r="D21" s="9">
        <f>B21*C21</f>
        <v>33719.000000000015</v>
      </c>
      <c r="E21" s="4">
        <f t="shared" si="5"/>
        <v>339.58407326560769</v>
      </c>
      <c r="F21" s="4">
        <f>F20+E21</f>
        <v>3261.9300602272415</v>
      </c>
      <c r="J21" s="7">
        <v>2</v>
      </c>
      <c r="K21" s="4">
        <v>339.58407326560769</v>
      </c>
      <c r="L21" s="161">
        <f t="shared" si="7"/>
        <v>1.375</v>
      </c>
      <c r="M21" s="161">
        <f t="shared" si="8"/>
        <v>466.92810074021054</v>
      </c>
      <c r="N21" s="161">
        <f t="shared" si="9"/>
        <v>1.03</v>
      </c>
      <c r="O21" s="161">
        <f t="shared" si="10"/>
        <v>349.77159546357592</v>
      </c>
    </row>
    <row r="22" spans="1:15">
      <c r="A22" s="7">
        <v>1</v>
      </c>
      <c r="B22" s="4">
        <f>D7</f>
        <v>4817</v>
      </c>
      <c r="C22" s="8">
        <f>C21-3.2</f>
        <v>3.8000000000000025</v>
      </c>
      <c r="D22" s="9">
        <f>B22*C22</f>
        <v>18304.600000000013</v>
      </c>
      <c r="E22" s="4">
        <f t="shared" si="5"/>
        <v>184.34563977275855</v>
      </c>
      <c r="F22" s="4">
        <f>F21+E22</f>
        <v>3446.2757000000001</v>
      </c>
      <c r="J22" s="7">
        <v>1</v>
      </c>
      <c r="K22" s="4">
        <v>184.34563977275855</v>
      </c>
      <c r="L22" s="161">
        <f t="shared" si="7"/>
        <v>1.375</v>
      </c>
      <c r="M22" s="161">
        <f t="shared" si="8"/>
        <v>253.47525468754299</v>
      </c>
      <c r="N22" s="161">
        <f t="shared" si="9"/>
        <v>1.03</v>
      </c>
      <c r="O22" s="161">
        <f t="shared" si="10"/>
        <v>189.87600896594131</v>
      </c>
    </row>
    <row r="23" spans="1:15">
      <c r="A23" s="7" t="s">
        <v>21</v>
      </c>
      <c r="B23" s="341"/>
      <c r="C23" s="341"/>
      <c r="D23" s="9">
        <f>SUM(D17:D22)</f>
        <v>342197.94000000006</v>
      </c>
      <c r="E23" s="341"/>
      <c r="F23" s="341"/>
    </row>
  </sheetData>
  <mergeCells count="7">
    <mergeCell ref="B8:C8"/>
    <mergeCell ref="B23:C23"/>
    <mergeCell ref="E23:F23"/>
    <mergeCell ref="L15:M15"/>
    <mergeCell ref="N15:O15"/>
    <mergeCell ref="J15:K15"/>
    <mergeCell ref="J14:N14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oglio3"/>
  <dimension ref="A1:G25"/>
  <sheetViews>
    <sheetView topLeftCell="A10" zoomScale="120" zoomScaleNormal="120" workbookViewId="0">
      <selection activeCell="G8" sqref="G8"/>
    </sheetView>
  </sheetViews>
  <sheetFormatPr defaultColWidth="9" defaultRowHeight="15"/>
  <cols>
    <col min="1" max="1" width="16.5703125" style="2" customWidth="1"/>
    <col min="2" max="2" width="11.140625" style="2" bestFit="1" customWidth="1"/>
    <col min="3" max="3" width="10.140625" style="2" bestFit="1" customWidth="1"/>
    <col min="4" max="4" width="9" style="2"/>
    <col min="5" max="5" width="9.85546875" style="2" customWidth="1"/>
    <col min="6" max="16384" width="9" style="2"/>
  </cols>
  <sheetData>
    <row r="1" spans="1:7">
      <c r="A1" s="2" t="s">
        <v>22</v>
      </c>
      <c r="B1" s="2">
        <v>14</v>
      </c>
      <c r="C1" s="2" t="s">
        <v>270</v>
      </c>
    </row>
    <row r="2" spans="1:7">
      <c r="A2" s="2" t="s">
        <v>23</v>
      </c>
      <c r="B2" s="2">
        <v>4</v>
      </c>
    </row>
    <row r="3" spans="1:7">
      <c r="A3" s="2" t="s">
        <v>17</v>
      </c>
      <c r="B3" s="3">
        <v>3.2</v>
      </c>
    </row>
    <row r="4" spans="1:7">
      <c r="A4" s="2" t="s">
        <v>24</v>
      </c>
      <c r="B4" s="3">
        <v>3.8</v>
      </c>
    </row>
    <row r="5" spans="1:7">
      <c r="A5" s="2" t="s">
        <v>33</v>
      </c>
      <c r="B5" s="2">
        <v>3.8</v>
      </c>
      <c r="C5" s="2" t="s">
        <v>34</v>
      </c>
    </row>
    <row r="6" spans="1:7" ht="18">
      <c r="A6" s="430" t="s">
        <v>15</v>
      </c>
      <c r="B6" s="16" t="s">
        <v>14</v>
      </c>
      <c r="C6" s="18" t="s">
        <v>29</v>
      </c>
      <c r="D6" s="16" t="s">
        <v>16</v>
      </c>
      <c r="E6" s="16" t="s">
        <v>30</v>
      </c>
      <c r="F6" s="16" t="s">
        <v>31</v>
      </c>
      <c r="G6" s="16" t="s">
        <v>32</v>
      </c>
    </row>
    <row r="7" spans="1:7">
      <c r="A7" s="431"/>
      <c r="B7" s="17" t="s">
        <v>26</v>
      </c>
      <c r="C7" s="17" t="s">
        <v>26</v>
      </c>
      <c r="D7" s="17" t="s">
        <v>27</v>
      </c>
      <c r="E7" s="17" t="s">
        <v>28</v>
      </c>
      <c r="F7" s="17" t="s">
        <v>28</v>
      </c>
      <c r="G7" s="17" t="s">
        <v>26</v>
      </c>
    </row>
    <row r="8" spans="1:7">
      <c r="A8" s="7" t="s">
        <v>265</v>
      </c>
      <c r="B8" s="12">
        <f>'8.Masse e forze'!F17</f>
        <v>972.16316620771568</v>
      </c>
      <c r="C8" s="12">
        <f>B8/$B$1</f>
        <v>69.440226157693971</v>
      </c>
      <c r="D8" s="13">
        <f t="shared" ref="D8:D12" si="0">0.5*$B$3</f>
        <v>1.6</v>
      </c>
      <c r="E8" s="12">
        <f t="shared" ref="E8:E13" si="1">C8*D8</f>
        <v>111.10436185231036</v>
      </c>
      <c r="F8" s="101">
        <f>E8/2</f>
        <v>55.552180926155181</v>
      </c>
      <c r="G8" s="101">
        <f>(1.2*F8)/B5</f>
        <v>17.542793976680581</v>
      </c>
    </row>
    <row r="9" spans="1:7">
      <c r="A9" s="7">
        <v>5</v>
      </c>
      <c r="B9" s="12">
        <f>'8.Masse e forze'!F18</f>
        <v>1777.4625399518709</v>
      </c>
      <c r="C9" s="12">
        <f t="shared" ref="C9:C13" si="2">B9/$B$1</f>
        <v>126.9616099965622</v>
      </c>
      <c r="D9" s="13">
        <f t="shared" si="0"/>
        <v>1.6</v>
      </c>
      <c r="E9" s="12">
        <f t="shared" si="1"/>
        <v>203.13857599449955</v>
      </c>
      <c r="F9" s="12">
        <f>(E8+E9)/2</f>
        <v>157.12146892340496</v>
      </c>
      <c r="G9" s="12">
        <f>((1.2*F8)/$B$5)+(2*F9)/$B$5</f>
        <v>100.23830393636742</v>
      </c>
    </row>
    <row r="10" spans="1:7">
      <c r="A10" s="7">
        <v>4</v>
      </c>
      <c r="B10" s="12">
        <f>'8.Masse e forze'!F19</f>
        <v>2427.5234802031769</v>
      </c>
      <c r="C10" s="12">
        <f t="shared" si="2"/>
        <v>173.39453430022692</v>
      </c>
      <c r="D10" s="13">
        <f t="shared" si="0"/>
        <v>1.6</v>
      </c>
      <c r="E10" s="12">
        <f t="shared" si="1"/>
        <v>277.4312548803631</v>
      </c>
      <c r="F10" s="12">
        <f t="shared" ref="F10:F13" si="3">(E9+E10)/2</f>
        <v>240.28491543743132</v>
      </c>
      <c r="G10" s="161">
        <f t="shared" ref="G10:G13" si="4">((1.2*F9)/$B$5)+(2*F10)/$B$5</f>
        <v>176.08305094288121</v>
      </c>
    </row>
    <row r="11" spans="1:7">
      <c r="A11" s="7">
        <v>3</v>
      </c>
      <c r="B11" s="12">
        <f>'8.Masse e forze'!F20</f>
        <v>2922.3459869616336</v>
      </c>
      <c r="C11" s="12">
        <f t="shared" si="2"/>
        <v>208.73899906868812</v>
      </c>
      <c r="D11" s="13">
        <f t="shared" si="0"/>
        <v>1.6</v>
      </c>
      <c r="E11" s="12">
        <f t="shared" si="1"/>
        <v>333.98239850990103</v>
      </c>
      <c r="F11" s="12">
        <f t="shared" si="3"/>
        <v>305.70682669513207</v>
      </c>
      <c r="G11" s="161">
        <f t="shared" si="4"/>
        <v>236.77777681978466</v>
      </c>
    </row>
    <row r="12" spans="1:7">
      <c r="A12" s="7">
        <v>2</v>
      </c>
      <c r="B12" s="12">
        <f>'8.Masse e forze'!F21</f>
        <v>3261.9300602272415</v>
      </c>
      <c r="C12" s="12">
        <f t="shared" si="2"/>
        <v>232.99500430194581</v>
      </c>
      <c r="D12" s="13">
        <f t="shared" si="0"/>
        <v>1.6</v>
      </c>
      <c r="E12" s="12">
        <f t="shared" si="1"/>
        <v>372.79200688311334</v>
      </c>
      <c r="F12" s="12">
        <f t="shared" si="3"/>
        <v>353.38720269650719</v>
      </c>
      <c r="G12" s="161">
        <f t="shared" si="4"/>
        <v>282.53226248083496</v>
      </c>
    </row>
    <row r="13" spans="1:7">
      <c r="A13" s="7" t="s">
        <v>25</v>
      </c>
      <c r="B13" s="12">
        <f>'8.Masse e forze'!F22</f>
        <v>3446.2757000000001</v>
      </c>
      <c r="C13" s="12">
        <f t="shared" si="2"/>
        <v>246.16255000000001</v>
      </c>
      <c r="D13" s="13">
        <f>0.4*B4</f>
        <v>1.52</v>
      </c>
      <c r="E13" s="12">
        <f t="shared" si="1"/>
        <v>374.16707600000001</v>
      </c>
      <c r="F13" s="12">
        <f t="shared" si="3"/>
        <v>373.47954144155665</v>
      </c>
      <c r="G13" s="161">
        <f t="shared" si="4"/>
        <v>308.16413845234786</v>
      </c>
    </row>
    <row r="14" spans="1:7">
      <c r="A14" s="7" t="s">
        <v>18</v>
      </c>
      <c r="B14" s="429"/>
      <c r="C14" s="429"/>
      <c r="D14" s="13">
        <f>0.6*B4</f>
        <v>2.2799999999999998</v>
      </c>
      <c r="E14" s="12">
        <f>C13*D14</f>
        <v>561.25061399999993</v>
      </c>
      <c r="F14" s="12"/>
      <c r="G14" s="12"/>
    </row>
    <row r="15" spans="1:7" ht="15.75" thickBot="1"/>
    <row r="16" spans="1:7" ht="15.75" thickBot="1">
      <c r="A16" s="433" t="s">
        <v>35</v>
      </c>
      <c r="B16" s="434"/>
      <c r="C16" s="434"/>
      <c r="D16" s="434"/>
      <c r="E16" s="435"/>
    </row>
    <row r="17" spans="1:7" ht="18">
      <c r="A17" s="432" t="s">
        <v>15</v>
      </c>
      <c r="B17" s="26" t="s">
        <v>14</v>
      </c>
      <c r="C17" s="27" t="s">
        <v>29</v>
      </c>
      <c r="D17" s="26" t="s">
        <v>30</v>
      </c>
      <c r="E17" s="26" t="s">
        <v>31</v>
      </c>
    </row>
    <row r="18" spans="1:7">
      <c r="A18" s="431"/>
      <c r="B18" s="17" t="s">
        <v>26</v>
      </c>
      <c r="C18" s="17" t="s">
        <v>26</v>
      </c>
      <c r="D18" s="23" t="s">
        <v>28</v>
      </c>
      <c r="E18" s="17" t="s">
        <v>28</v>
      </c>
    </row>
    <row r="19" spans="1:7">
      <c r="A19" s="7" t="s">
        <v>265</v>
      </c>
      <c r="B19" s="14">
        <f t="shared" ref="B19:B24" si="5">B8</f>
        <v>972.16316620771568</v>
      </c>
      <c r="C19" s="21">
        <f t="shared" ref="C19:C24" si="6">C8*1.2</f>
        <v>83.328271389232768</v>
      </c>
      <c r="D19" s="24">
        <f t="shared" ref="D19:D24" si="7">(E8*1.2)*1.3</f>
        <v>173.32280448960415</v>
      </c>
      <c r="E19" s="22">
        <f t="shared" ref="D19:E25" si="8">F8*1.2</f>
        <v>66.662617111386211</v>
      </c>
      <c r="G19" s="28" t="s">
        <v>36</v>
      </c>
    </row>
    <row r="20" spans="1:7">
      <c r="A20" s="7">
        <v>5</v>
      </c>
      <c r="B20" s="14">
        <f t="shared" si="5"/>
        <v>1777.4625399518709</v>
      </c>
      <c r="C20" s="21">
        <f t="shared" si="6"/>
        <v>152.35393199587463</v>
      </c>
      <c r="D20" s="24">
        <f t="shared" si="7"/>
        <v>316.89617855141927</v>
      </c>
      <c r="E20" s="22">
        <f t="shared" si="8"/>
        <v>188.54576270808596</v>
      </c>
    </row>
    <row r="21" spans="1:7">
      <c r="A21" s="7">
        <v>4</v>
      </c>
      <c r="B21" s="14">
        <f t="shared" si="5"/>
        <v>2427.5234802031769</v>
      </c>
      <c r="C21" s="21">
        <f t="shared" si="6"/>
        <v>208.0734411602723</v>
      </c>
      <c r="D21" s="24">
        <f t="shared" si="7"/>
        <v>432.7927576133664</v>
      </c>
      <c r="E21" s="22">
        <f t="shared" si="8"/>
        <v>288.34189852491755</v>
      </c>
    </row>
    <row r="22" spans="1:7">
      <c r="A22" s="7">
        <v>3</v>
      </c>
      <c r="B22" s="14">
        <f t="shared" si="5"/>
        <v>2922.3459869616336</v>
      </c>
      <c r="C22" s="21">
        <f t="shared" si="6"/>
        <v>250.48679888242572</v>
      </c>
      <c r="D22" s="24">
        <f t="shared" si="7"/>
        <v>521.01254167544562</v>
      </c>
      <c r="E22" s="22">
        <f t="shared" si="8"/>
        <v>366.84819203415844</v>
      </c>
    </row>
    <row r="23" spans="1:7">
      <c r="A23" s="7">
        <v>2</v>
      </c>
      <c r="B23" s="14">
        <f t="shared" si="5"/>
        <v>3261.9300602272415</v>
      </c>
      <c r="C23" s="21">
        <f t="shared" si="6"/>
        <v>279.59400516233495</v>
      </c>
      <c r="D23" s="24">
        <f t="shared" si="7"/>
        <v>581.5555307376568</v>
      </c>
      <c r="E23" s="22">
        <f t="shared" si="8"/>
        <v>424.0646432358086</v>
      </c>
    </row>
    <row r="24" spans="1:7" ht="15.75" thickBot="1">
      <c r="A24" s="7" t="s">
        <v>25</v>
      </c>
      <c r="B24" s="14">
        <f t="shared" si="5"/>
        <v>3446.2757000000001</v>
      </c>
      <c r="C24" s="21">
        <f t="shared" si="6"/>
        <v>295.39506</v>
      </c>
      <c r="D24" s="25">
        <f t="shared" si="7"/>
        <v>583.70063856000002</v>
      </c>
      <c r="E24" s="22">
        <f t="shared" si="8"/>
        <v>448.17544972986798</v>
      </c>
      <c r="G24" s="15"/>
    </row>
    <row r="25" spans="1:7">
      <c r="A25" s="7" t="s">
        <v>18</v>
      </c>
      <c r="B25" s="19"/>
      <c r="C25" s="20"/>
      <c r="D25" s="14">
        <f t="shared" si="8"/>
        <v>673.50073679999991</v>
      </c>
      <c r="E25" s="12"/>
      <c r="G25" s="15"/>
    </row>
  </sheetData>
  <mergeCells count="4">
    <mergeCell ref="B14:C14"/>
    <mergeCell ref="A6:A7"/>
    <mergeCell ref="A17:A18"/>
    <mergeCell ref="A16:E16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95"/>
  <sheetViews>
    <sheetView zoomScale="90" zoomScaleNormal="90" workbookViewId="0">
      <selection activeCell="Z12" sqref="Z12"/>
    </sheetView>
  </sheetViews>
  <sheetFormatPr defaultRowHeight="15"/>
  <cols>
    <col min="1" max="1" width="1.85546875" customWidth="1"/>
    <col min="2" max="2" width="17.140625" customWidth="1"/>
    <col min="3" max="3" width="8.7109375" customWidth="1"/>
    <col min="4" max="4" width="9.5703125" customWidth="1"/>
    <col min="6" max="6" width="16.28515625" customWidth="1"/>
    <col min="10" max="10" width="14.42578125" customWidth="1"/>
    <col min="14" max="14" width="11.5703125" customWidth="1"/>
  </cols>
  <sheetData>
    <row r="1" spans="2:25" ht="15.75" thickBot="1">
      <c r="B1" s="165"/>
      <c r="C1" s="165" t="s">
        <v>295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</row>
    <row r="2" spans="2:25" ht="6.75" customHeight="1" thickTop="1" thickBot="1"/>
    <row r="3" spans="2:25" ht="15.75" thickBot="1">
      <c r="C3" s="437" t="s">
        <v>271</v>
      </c>
      <c r="D3" s="438"/>
      <c r="E3" s="438"/>
      <c r="F3" s="438"/>
      <c r="G3" s="438"/>
      <c r="H3" s="438"/>
      <c r="I3" s="438"/>
      <c r="J3" s="438"/>
      <c r="K3" s="439"/>
    </row>
    <row r="4" spans="2:25" ht="27" customHeight="1">
      <c r="C4" s="440" t="s">
        <v>272</v>
      </c>
      <c r="D4" s="440"/>
      <c r="E4" s="440"/>
      <c r="F4" s="440" t="s">
        <v>273</v>
      </c>
      <c r="G4" s="440"/>
      <c r="H4" s="440"/>
      <c r="I4" s="440" t="s">
        <v>287</v>
      </c>
      <c r="J4" s="440"/>
      <c r="K4" s="440"/>
    </row>
    <row r="5" spans="2:25">
      <c r="C5" s="147" t="s">
        <v>274</v>
      </c>
      <c r="D5" s="148">
        <v>25</v>
      </c>
      <c r="E5" s="147" t="s">
        <v>275</v>
      </c>
      <c r="F5" s="147" t="s">
        <v>276</v>
      </c>
      <c r="G5" s="148">
        <f>D5/1.5*0.85</f>
        <v>14.166666666666668</v>
      </c>
      <c r="H5" s="147" t="s">
        <v>275</v>
      </c>
      <c r="I5" s="147" t="s">
        <v>277</v>
      </c>
      <c r="J5" s="148">
        <f>'7.Riep. carico pilastri'!$L$7</f>
        <v>2231.1276772936249</v>
      </c>
      <c r="K5" s="147" t="s">
        <v>26</v>
      </c>
    </row>
    <row r="6" spans="2:25" ht="15.75" thickBot="1">
      <c r="C6" s="149"/>
      <c r="D6" s="149"/>
      <c r="E6" s="149"/>
      <c r="F6" s="149"/>
      <c r="G6" s="149"/>
      <c r="H6" s="149"/>
      <c r="I6" s="149"/>
      <c r="J6" s="149"/>
      <c r="K6" s="149"/>
    </row>
    <row r="7" spans="2:25" ht="32.25" customHeight="1" thickBot="1">
      <c r="C7" s="444" t="s">
        <v>288</v>
      </c>
      <c r="D7" s="444"/>
      <c r="E7" s="444"/>
      <c r="F7" s="444" t="s">
        <v>278</v>
      </c>
      <c r="G7" s="444"/>
      <c r="H7" s="444"/>
      <c r="I7" s="444" t="s">
        <v>279</v>
      </c>
      <c r="J7" s="444"/>
      <c r="K7" s="444"/>
      <c r="M7" s="441" t="s">
        <v>290</v>
      </c>
      <c r="N7" s="442"/>
      <c r="O7" s="443"/>
    </row>
    <row r="8" spans="2:25">
      <c r="C8" s="147" t="s">
        <v>277</v>
      </c>
      <c r="D8" s="148">
        <f>'7.Riep. carico pilastri'!$L$8</f>
        <v>1381.9999892874034</v>
      </c>
      <c r="E8" s="147" t="s">
        <v>26</v>
      </c>
      <c r="F8" s="147" t="s">
        <v>280</v>
      </c>
      <c r="G8" s="148">
        <v>0.4</v>
      </c>
      <c r="H8" s="150"/>
      <c r="I8" s="147" t="s">
        <v>281</v>
      </c>
      <c r="J8" s="148">
        <f>J5/(G5*1000)</f>
        <v>0.15749136545602058</v>
      </c>
      <c r="K8" s="147" t="s">
        <v>282</v>
      </c>
      <c r="M8" s="152" t="s">
        <v>285</v>
      </c>
      <c r="N8" s="156">
        <v>0.3</v>
      </c>
      <c r="O8" s="153" t="s">
        <v>27</v>
      </c>
    </row>
    <row r="9" spans="2:25" ht="15.75" thickBot="1">
      <c r="C9" s="151"/>
      <c r="D9" s="151"/>
      <c r="E9" s="151"/>
      <c r="F9" s="149"/>
      <c r="G9" s="149"/>
      <c r="H9" s="149"/>
      <c r="M9" s="154" t="s">
        <v>286</v>
      </c>
      <c r="N9" s="157">
        <v>0.8</v>
      </c>
      <c r="O9" s="155" t="s">
        <v>27</v>
      </c>
      <c r="Y9" t="s">
        <v>485</v>
      </c>
    </row>
    <row r="10" spans="2:25" ht="25.5" customHeight="1">
      <c r="C10" s="444" t="s">
        <v>289</v>
      </c>
      <c r="D10" s="444"/>
      <c r="E10" s="444"/>
      <c r="F10" s="444" t="s">
        <v>283</v>
      </c>
      <c r="G10" s="444"/>
      <c r="H10" s="444"/>
    </row>
    <row r="11" spans="2:25">
      <c r="C11" s="147" t="s">
        <v>281</v>
      </c>
      <c r="D11" s="148">
        <f>D8/(G8*G5*1000)</f>
        <v>0.2438823510507182</v>
      </c>
      <c r="E11" s="147" t="s">
        <v>282</v>
      </c>
      <c r="F11" s="147" t="s">
        <v>284</v>
      </c>
      <c r="G11" s="148">
        <f>D11/N8</f>
        <v>0.81294117016906076</v>
      </c>
      <c r="H11" s="147" t="s">
        <v>27</v>
      </c>
    </row>
    <row r="14" spans="2:25" ht="29.25" customHeight="1">
      <c r="B14" s="430" t="s">
        <v>15</v>
      </c>
      <c r="C14" s="16" t="s">
        <v>30</v>
      </c>
      <c r="D14" s="436" t="s">
        <v>262</v>
      </c>
      <c r="E14" s="436"/>
      <c r="F14" s="16" t="s">
        <v>32</v>
      </c>
      <c r="H14" s="146" t="s">
        <v>266</v>
      </c>
      <c r="I14" s="146" t="s">
        <v>267</v>
      </c>
      <c r="J14" s="146" t="s">
        <v>268</v>
      </c>
      <c r="K14" s="146" t="s">
        <v>269</v>
      </c>
    </row>
    <row r="15" spans="2:25">
      <c r="B15" s="431"/>
      <c r="C15" s="17" t="s">
        <v>28</v>
      </c>
      <c r="D15" s="96" t="s">
        <v>263</v>
      </c>
      <c r="E15" s="145" t="s">
        <v>264</v>
      </c>
      <c r="F15" s="17" t="s">
        <v>26</v>
      </c>
      <c r="H15" s="341"/>
      <c r="I15" s="341"/>
      <c r="J15" s="341"/>
      <c r="K15" s="341"/>
    </row>
    <row r="16" spans="2:25">
      <c r="B16" s="7" t="s">
        <v>265</v>
      </c>
      <c r="C16" s="101">
        <f>'9.Car.sollecitazione'!D19</f>
        <v>173.32280448960415</v>
      </c>
      <c r="D16" s="119">
        <f>'7.Riep. carico pilastri'!J14</f>
        <v>92.594864352831024</v>
      </c>
      <c r="E16" s="119">
        <f>'7.Riep. carico pilastri'!J8</f>
        <v>230.33333154790057</v>
      </c>
      <c r="F16" s="119">
        <f>'9.Car.sollecitazione'!G8</f>
        <v>17.542793976680581</v>
      </c>
      <c r="H16" s="4">
        <f t="shared" ref="H16:H21" si="0">D16-F16</f>
        <v>75.052070376150439</v>
      </c>
      <c r="I16" s="4">
        <f t="shared" ref="I16:I21" si="1">D16+F16</f>
        <v>110.13765832951161</v>
      </c>
      <c r="J16" s="4">
        <f t="shared" ref="J16:J21" si="2">E16-F16</f>
        <v>212.79053757122</v>
      </c>
      <c r="K16" s="4">
        <f t="shared" ref="K16:K21" si="3">E16+F16</f>
        <v>247.87612552458114</v>
      </c>
    </row>
    <row r="17" spans="1:20">
      <c r="B17" s="7">
        <v>5</v>
      </c>
      <c r="C17" s="119">
        <f>'9.Car.sollecitazione'!D20</f>
        <v>316.89617855141927</v>
      </c>
      <c r="D17" s="119">
        <f>D16+D16</f>
        <v>185.18972870566205</v>
      </c>
      <c r="E17" s="119">
        <f>E16+E16</f>
        <v>460.66666309580114</v>
      </c>
      <c r="F17" s="119">
        <f>'9.Car.sollecitazione'!G9</f>
        <v>100.23830393636742</v>
      </c>
      <c r="H17" s="4">
        <f t="shared" si="0"/>
        <v>84.951424769294633</v>
      </c>
      <c r="I17" s="4">
        <f t="shared" si="1"/>
        <v>285.42803264202945</v>
      </c>
      <c r="J17" s="4">
        <f t="shared" si="2"/>
        <v>360.42835915943374</v>
      </c>
      <c r="K17" s="4">
        <f t="shared" si="3"/>
        <v>560.90496703216854</v>
      </c>
    </row>
    <row r="18" spans="1:20">
      <c r="B18" s="7">
        <v>4</v>
      </c>
      <c r="C18" s="119">
        <f>'9.Car.sollecitazione'!D21</f>
        <v>432.7927576133664</v>
      </c>
      <c r="D18" s="119">
        <f>$D$16+D17</f>
        <v>277.7845930584931</v>
      </c>
      <c r="E18" s="119">
        <f>$E$16+E17</f>
        <v>690.99999464370171</v>
      </c>
      <c r="F18" s="119">
        <f>'9.Car.sollecitazione'!G10</f>
        <v>176.08305094288121</v>
      </c>
      <c r="H18" s="4">
        <f t="shared" si="0"/>
        <v>101.70154211561189</v>
      </c>
      <c r="I18" s="4">
        <f t="shared" si="1"/>
        <v>453.86764400137429</v>
      </c>
      <c r="J18" s="4">
        <f t="shared" si="2"/>
        <v>514.91694370082053</v>
      </c>
      <c r="K18" s="4">
        <f t="shared" si="3"/>
        <v>867.0830455865829</v>
      </c>
    </row>
    <row r="19" spans="1:20">
      <c r="B19" s="7">
        <v>3</v>
      </c>
      <c r="C19" s="119">
        <f>'9.Car.sollecitazione'!D22</f>
        <v>521.01254167544562</v>
      </c>
      <c r="D19" s="119">
        <f>$D$16+D18</f>
        <v>370.3794574113241</v>
      </c>
      <c r="E19" s="119">
        <f>$E$16+E18</f>
        <v>921.33332619160228</v>
      </c>
      <c r="F19" s="119">
        <f>'9.Car.sollecitazione'!G11</f>
        <v>236.77777681978466</v>
      </c>
      <c r="H19" s="4">
        <f t="shared" si="0"/>
        <v>133.60168059153943</v>
      </c>
      <c r="I19" s="4">
        <f t="shared" si="1"/>
        <v>607.15723423110876</v>
      </c>
      <c r="J19" s="4">
        <f t="shared" si="2"/>
        <v>684.55554937181762</v>
      </c>
      <c r="K19" s="4">
        <f t="shared" si="3"/>
        <v>1158.1111030113871</v>
      </c>
    </row>
    <row r="20" spans="1:20">
      <c r="B20" s="7">
        <v>2</v>
      </c>
      <c r="C20" s="119">
        <f>'9.Car.sollecitazione'!D23</f>
        <v>581.5555307376568</v>
      </c>
      <c r="D20" s="119">
        <f>$D$16+D19</f>
        <v>462.97432176415509</v>
      </c>
      <c r="E20" s="119">
        <f>$E$16+E19</f>
        <v>1151.6666577395029</v>
      </c>
      <c r="F20" s="119">
        <f>'9.Car.sollecitazione'!G12</f>
        <v>282.53226248083496</v>
      </c>
      <c r="H20" s="4">
        <f t="shared" si="0"/>
        <v>180.44205928332013</v>
      </c>
      <c r="I20" s="4">
        <f t="shared" si="1"/>
        <v>745.50658424499011</v>
      </c>
      <c r="J20" s="4">
        <f t="shared" si="2"/>
        <v>869.13439525866784</v>
      </c>
      <c r="K20" s="4">
        <f t="shared" si="3"/>
        <v>1434.1989202203379</v>
      </c>
    </row>
    <row r="21" spans="1:20">
      <c r="B21" s="7" t="s">
        <v>25</v>
      </c>
      <c r="C21" s="119">
        <f>'9.Car.sollecitazione'!D24</f>
        <v>583.70063856000002</v>
      </c>
      <c r="D21" s="119">
        <f>$D$16+D20</f>
        <v>555.56918611698609</v>
      </c>
      <c r="E21" s="119">
        <f>$E$16+E20</f>
        <v>1381.9999892874034</v>
      </c>
      <c r="F21" s="119">
        <f>'9.Car.sollecitazione'!G13</f>
        <v>308.16413845234786</v>
      </c>
      <c r="H21" s="4">
        <f t="shared" si="0"/>
        <v>247.40504766463823</v>
      </c>
      <c r="I21" s="4">
        <f t="shared" si="1"/>
        <v>863.73332456933394</v>
      </c>
      <c r="J21" s="4">
        <f t="shared" si="2"/>
        <v>1073.8358508350557</v>
      </c>
      <c r="K21" s="4">
        <f t="shared" si="3"/>
        <v>1690.1641277397512</v>
      </c>
    </row>
    <row r="22" spans="1:20">
      <c r="B22" s="7" t="s">
        <v>18</v>
      </c>
      <c r="C22" s="119">
        <f>'9.Car.sollecitazione'!D25</f>
        <v>673.50073679999991</v>
      </c>
      <c r="D22" s="119"/>
      <c r="E22" s="119"/>
      <c r="F22" s="119"/>
    </row>
    <row r="23" spans="1:20">
      <c r="B23" s="177"/>
      <c r="C23" s="61"/>
      <c r="D23" s="61"/>
      <c r="E23" s="61"/>
      <c r="F23" s="61"/>
    </row>
    <row r="25" spans="1:20" ht="15.75" thickBot="1">
      <c r="B25" s="165"/>
      <c r="C25" s="165" t="s">
        <v>374</v>
      </c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</row>
    <row r="26" spans="1:20" ht="15.75" thickTop="1">
      <c r="A26" s="238"/>
      <c r="F26" t="s">
        <v>306</v>
      </c>
      <c r="G26">
        <v>3</v>
      </c>
      <c r="H26" t="s">
        <v>307</v>
      </c>
    </row>
    <row r="27" spans="1:20" ht="15.75">
      <c r="A27" s="238"/>
      <c r="B27" s="205" t="s">
        <v>303</v>
      </c>
      <c r="D27" s="205"/>
      <c r="F27" s="449" t="s">
        <v>304</v>
      </c>
      <c r="G27" s="449"/>
      <c r="H27" s="449"/>
      <c r="I27" s="449"/>
      <c r="J27" s="449"/>
      <c r="K27" s="449"/>
      <c r="L27" s="449"/>
    </row>
    <row r="28" spans="1:20">
      <c r="A28" s="238"/>
      <c r="B28" t="s">
        <v>377</v>
      </c>
      <c r="C28" s="206"/>
      <c r="F28" t="s">
        <v>376</v>
      </c>
      <c r="J28" t="s">
        <v>375</v>
      </c>
      <c r="O28" t="s">
        <v>306</v>
      </c>
      <c r="P28">
        <v>3</v>
      </c>
      <c r="Q28" t="s">
        <v>307</v>
      </c>
    </row>
    <row r="29" spans="1:20" ht="33" customHeight="1" thickBot="1">
      <c r="A29" s="238"/>
      <c r="B29" t="s">
        <v>299</v>
      </c>
      <c r="D29" s="166"/>
      <c r="F29" t="s">
        <v>299</v>
      </c>
      <c r="G29" s="206"/>
      <c r="H29" s="166"/>
      <c r="J29" t="s">
        <v>299</v>
      </c>
      <c r="K29" s="206"/>
      <c r="L29" s="166"/>
    </row>
    <row r="30" spans="1:20" ht="45">
      <c r="A30" s="238"/>
      <c r="B30" s="167" t="s">
        <v>300</v>
      </c>
      <c r="C30" s="161">
        <f>'6.Riep. car. travi e mom. flet.'!$I$11</f>
        <v>162.49205758499994</v>
      </c>
      <c r="D30" s="170" t="s">
        <v>293</v>
      </c>
      <c r="F30" s="167" t="s">
        <v>300</v>
      </c>
      <c r="G30" s="161">
        <f>'6.Riep. car. travi e mom. flet.'!$I$5</f>
        <v>157.62281969374999</v>
      </c>
      <c r="H30" s="170" t="s">
        <v>293</v>
      </c>
      <c r="J30" s="167" t="s">
        <v>300</v>
      </c>
      <c r="K30" s="161">
        <f>'6.Riep. car. travi e mom. flet.'!$I$18</f>
        <v>52.113203878124999</v>
      </c>
      <c r="L30" s="170" t="s">
        <v>293</v>
      </c>
      <c r="N30" s="1">
        <f>C32</f>
        <v>535.97159902655653</v>
      </c>
      <c r="O30" s="445" t="s">
        <v>301</v>
      </c>
      <c r="P30" s="175" t="s">
        <v>296</v>
      </c>
      <c r="Q30" s="171">
        <v>1.7000000000000001E-2</v>
      </c>
      <c r="S30" s="448" t="s">
        <v>302</v>
      </c>
      <c r="T30" s="448"/>
    </row>
    <row r="31" spans="1:20">
      <c r="A31" s="238"/>
      <c r="B31" s="168" t="s">
        <v>298</v>
      </c>
      <c r="C31" s="178">
        <f>'9.Car.sollecitazione'!$F$13</f>
        <v>373.47954144155665</v>
      </c>
      <c r="D31" s="170" t="s">
        <v>293</v>
      </c>
      <c r="F31" s="168" t="s">
        <v>298</v>
      </c>
      <c r="G31" s="178">
        <f>'9.Car.sollecitazione'!$E$24</f>
        <v>448.17544972986798</v>
      </c>
      <c r="H31" s="170" t="s">
        <v>293</v>
      </c>
      <c r="J31" s="168" t="s">
        <v>298</v>
      </c>
      <c r="K31" s="178">
        <f>'9.Car.sollecitazione'!$E$24</f>
        <v>448.17544972986798</v>
      </c>
      <c r="L31" s="170" t="s">
        <v>293</v>
      </c>
      <c r="N31" s="1">
        <f>MIN(K32,G32)</f>
        <v>500.28865360799296</v>
      </c>
      <c r="O31" s="446"/>
      <c r="P31" s="176" t="s">
        <v>285</v>
      </c>
      <c r="Q31" s="174">
        <v>0.3</v>
      </c>
      <c r="S31" s="210" t="s">
        <v>285</v>
      </c>
      <c r="T31" s="174">
        <v>0.3</v>
      </c>
    </row>
    <row r="32" spans="1:20" ht="15.75" thickBot="1">
      <c r="A32" s="238"/>
      <c r="B32" s="169" t="s">
        <v>311</v>
      </c>
      <c r="C32" s="172">
        <f>C30+C31</f>
        <v>535.97159902655653</v>
      </c>
      <c r="D32" s="170" t="s">
        <v>293</v>
      </c>
      <c r="F32" s="169" t="s">
        <v>311</v>
      </c>
      <c r="G32" s="172">
        <f>G30+G31</f>
        <v>605.79826942361797</v>
      </c>
      <c r="H32" s="170" t="s">
        <v>293</v>
      </c>
      <c r="J32" s="169" t="s">
        <v>311</v>
      </c>
      <c r="K32" s="172">
        <f>K30+K31</f>
        <v>500.28865360799296</v>
      </c>
      <c r="L32" s="170" t="s">
        <v>293</v>
      </c>
      <c r="N32" s="1">
        <f>MAX(N30:N31)</f>
        <v>535.97159902655653</v>
      </c>
      <c r="O32" s="447"/>
      <c r="P32" s="175" t="s">
        <v>297</v>
      </c>
      <c r="Q32" s="67">
        <f>Q30*SQRT(N32/Q31)</f>
        <v>0.71855362156365865</v>
      </c>
      <c r="S32" s="210" t="s">
        <v>286</v>
      </c>
      <c r="T32" s="174">
        <v>0.75</v>
      </c>
    </row>
    <row r="33" spans="1:20">
      <c r="A33" s="238"/>
    </row>
    <row r="34" spans="1:20">
      <c r="A34" s="238"/>
    </row>
    <row r="35" spans="1:20" ht="15.75">
      <c r="A35" s="238"/>
      <c r="B35" s="205" t="s">
        <v>305</v>
      </c>
      <c r="C35" s="205"/>
      <c r="D35" s="205"/>
    </row>
    <row r="36" spans="1:20">
      <c r="A36" s="238"/>
      <c r="B36" t="s">
        <v>378</v>
      </c>
      <c r="C36" s="206"/>
      <c r="F36" t="s">
        <v>308</v>
      </c>
      <c r="G36">
        <v>26</v>
      </c>
      <c r="H36" t="s">
        <v>307</v>
      </c>
      <c r="J36" t="s">
        <v>306</v>
      </c>
      <c r="K36">
        <v>3</v>
      </c>
      <c r="L36" t="s">
        <v>307</v>
      </c>
    </row>
    <row r="37" spans="1:20" ht="15.75" thickBot="1">
      <c r="A37" s="238"/>
      <c r="B37" t="s">
        <v>299</v>
      </c>
      <c r="D37" s="166"/>
    </row>
    <row r="38" spans="1:20" ht="30">
      <c r="A38" s="238"/>
      <c r="B38" s="167" t="s">
        <v>310</v>
      </c>
      <c r="C38" s="161">
        <f>'6.Riep. car. travi e mom. flet.'!$H$12</f>
        <v>74.255841471508049</v>
      </c>
      <c r="D38" s="170" t="s">
        <v>293</v>
      </c>
      <c r="F38" s="445" t="s">
        <v>309</v>
      </c>
      <c r="G38" s="175" t="s">
        <v>296</v>
      </c>
      <c r="H38" s="171">
        <v>1.7000000000000001E-2</v>
      </c>
      <c r="J38" s="448" t="s">
        <v>302</v>
      </c>
      <c r="K38" s="448"/>
    </row>
    <row r="39" spans="1:20">
      <c r="A39" s="238"/>
      <c r="B39" s="168" t="s">
        <v>298</v>
      </c>
      <c r="C39" s="178">
        <v>0</v>
      </c>
      <c r="D39" s="170" t="s">
        <v>293</v>
      </c>
      <c r="F39" s="446"/>
      <c r="G39" s="176" t="s">
        <v>297</v>
      </c>
      <c r="H39" s="174">
        <f>(G36-K36)*10^-2</f>
        <v>0.23</v>
      </c>
      <c r="J39" s="210" t="s">
        <v>286</v>
      </c>
      <c r="K39" s="174">
        <v>0.26</v>
      </c>
    </row>
    <row r="40" spans="1:20" ht="15.75" thickBot="1">
      <c r="A40" s="238"/>
      <c r="B40" s="169" t="s">
        <v>311</v>
      </c>
      <c r="C40" s="172">
        <f>C38+C39</f>
        <v>74.255841471508049</v>
      </c>
      <c r="D40" s="170" t="s">
        <v>293</v>
      </c>
      <c r="F40" s="447"/>
      <c r="G40" s="175" t="s">
        <v>285</v>
      </c>
      <c r="H40" s="67">
        <f>(C40*H38^2)/H39^2</f>
        <v>0.40566990898423116</v>
      </c>
      <c r="J40" s="210" t="s">
        <v>285</v>
      </c>
      <c r="K40" s="174">
        <v>0.5</v>
      </c>
    </row>
    <row r="42" spans="1:20" ht="15.75" thickBot="1">
      <c r="B42" s="165"/>
      <c r="C42" s="165" t="s">
        <v>380</v>
      </c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</row>
    <row r="43" spans="1:20" ht="15.75" thickTop="1">
      <c r="A43" s="238"/>
      <c r="F43" t="s">
        <v>306</v>
      </c>
      <c r="G43">
        <v>3</v>
      </c>
      <c r="H43" t="s">
        <v>307</v>
      </c>
    </row>
    <row r="44" spans="1:20" ht="15.75">
      <c r="A44" s="238"/>
      <c r="B44" s="205" t="s">
        <v>303</v>
      </c>
      <c r="D44" s="205"/>
      <c r="F44" s="449" t="s">
        <v>304</v>
      </c>
      <c r="G44" s="449"/>
      <c r="H44" s="449"/>
      <c r="I44" s="449"/>
      <c r="J44" s="449"/>
      <c r="K44" s="449"/>
      <c r="L44" s="449"/>
    </row>
    <row r="45" spans="1:20">
      <c r="A45" s="238"/>
      <c r="B45" t="s">
        <v>377</v>
      </c>
      <c r="C45" s="206"/>
      <c r="F45" t="s">
        <v>376</v>
      </c>
      <c r="J45" t="s">
        <v>375</v>
      </c>
      <c r="O45" t="s">
        <v>306</v>
      </c>
      <c r="P45">
        <v>3</v>
      </c>
      <c r="Q45" t="s">
        <v>307</v>
      </c>
    </row>
    <row r="46" spans="1:20" ht="15.75" thickBot="1">
      <c r="A46" s="238"/>
      <c r="B46" t="s">
        <v>299</v>
      </c>
      <c r="D46" s="166"/>
      <c r="F46" t="s">
        <v>299</v>
      </c>
      <c r="G46" s="206"/>
      <c r="H46" s="166"/>
      <c r="J46" t="s">
        <v>299</v>
      </c>
      <c r="K46" s="206"/>
      <c r="L46" s="166"/>
    </row>
    <row r="47" spans="1:20" ht="45">
      <c r="A47" s="238"/>
      <c r="B47" s="167" t="s">
        <v>300</v>
      </c>
      <c r="C47" s="161">
        <f>'6.Riep. car. travi e mom. flet.'!$I$11</f>
        <v>162.49205758499994</v>
      </c>
      <c r="D47" s="170" t="s">
        <v>293</v>
      </c>
      <c r="F47" s="167" t="s">
        <v>300</v>
      </c>
      <c r="G47" s="161">
        <f>'6.Riep. car. travi e mom. flet.'!$I$5</f>
        <v>157.62281969374999</v>
      </c>
      <c r="H47" s="170" t="s">
        <v>293</v>
      </c>
      <c r="J47" s="167" t="s">
        <v>300</v>
      </c>
      <c r="K47" s="161">
        <f>'6.Riep. car. travi e mom. flet.'!$I$18</f>
        <v>52.113203878124999</v>
      </c>
      <c r="L47" s="170" t="s">
        <v>293</v>
      </c>
      <c r="N47" s="1">
        <f>C49</f>
        <v>515.87926028150719</v>
      </c>
      <c r="O47" s="445" t="s">
        <v>301</v>
      </c>
      <c r="P47" s="175" t="s">
        <v>296</v>
      </c>
      <c r="Q47" s="171">
        <v>1.7000000000000001E-2</v>
      </c>
      <c r="S47" s="448" t="s">
        <v>302</v>
      </c>
      <c r="T47" s="448"/>
    </row>
    <row r="48" spans="1:20">
      <c r="A48" s="238"/>
      <c r="B48" s="168" t="s">
        <v>298</v>
      </c>
      <c r="C48" s="178">
        <f>'9.Car.sollecitazione'!$F$12</f>
        <v>353.38720269650719</v>
      </c>
      <c r="D48" s="170" t="s">
        <v>293</v>
      </c>
      <c r="F48" s="168" t="s">
        <v>298</v>
      </c>
      <c r="G48" s="178">
        <f>'9.Car.sollecitazione'!$E$23</f>
        <v>424.0646432358086</v>
      </c>
      <c r="H48" s="170" t="s">
        <v>293</v>
      </c>
      <c r="J48" s="168" t="s">
        <v>298</v>
      </c>
      <c r="K48" s="178">
        <f>'9.Car.sollecitazione'!$E$23</f>
        <v>424.0646432358086</v>
      </c>
      <c r="L48" s="170" t="s">
        <v>293</v>
      </c>
      <c r="N48" s="1">
        <f>MIN(K49,G49)</f>
        <v>476.17784711393358</v>
      </c>
      <c r="O48" s="446"/>
      <c r="P48" s="176" t="s">
        <v>285</v>
      </c>
      <c r="Q48" s="174">
        <v>0.3</v>
      </c>
      <c r="S48" s="210" t="s">
        <v>285</v>
      </c>
      <c r="T48" s="174">
        <v>0.3</v>
      </c>
    </row>
    <row r="49" spans="1:20" ht="15.75" thickBot="1">
      <c r="A49" s="238"/>
      <c r="B49" s="169" t="s">
        <v>311</v>
      </c>
      <c r="C49" s="172">
        <f>C47+C48</f>
        <v>515.87926028150719</v>
      </c>
      <c r="D49" s="170" t="s">
        <v>293</v>
      </c>
      <c r="F49" s="169" t="s">
        <v>311</v>
      </c>
      <c r="G49" s="172">
        <f>G47+G48</f>
        <v>581.68746292955859</v>
      </c>
      <c r="H49" s="170" t="s">
        <v>293</v>
      </c>
      <c r="J49" s="169" t="s">
        <v>311</v>
      </c>
      <c r="K49" s="172">
        <f>K47+K48</f>
        <v>476.17784711393358</v>
      </c>
      <c r="L49" s="170" t="s">
        <v>293</v>
      </c>
      <c r="N49" s="1">
        <f>MAX(N47:N48)</f>
        <v>515.87926028150719</v>
      </c>
      <c r="O49" s="447"/>
      <c r="P49" s="175" t="s">
        <v>297</v>
      </c>
      <c r="Q49" s="67">
        <f>Q47*SQRT(N49/Q48)</f>
        <v>0.70495651454860575</v>
      </c>
      <c r="S49" s="210" t="s">
        <v>286</v>
      </c>
      <c r="T49" s="174">
        <v>0.75</v>
      </c>
    </row>
    <row r="50" spans="1:20">
      <c r="A50" s="238"/>
    </row>
    <row r="51" spans="1:20">
      <c r="A51" s="238"/>
    </row>
    <row r="52" spans="1:20" ht="15.75">
      <c r="A52" s="238"/>
      <c r="B52" s="205" t="s">
        <v>305</v>
      </c>
      <c r="C52" s="205"/>
      <c r="D52" s="205"/>
    </row>
    <row r="53" spans="1:20">
      <c r="A53" s="238"/>
      <c r="B53" t="s">
        <v>378</v>
      </c>
      <c r="C53" s="206"/>
      <c r="F53" t="s">
        <v>308</v>
      </c>
      <c r="G53">
        <v>26</v>
      </c>
      <c r="H53" t="s">
        <v>307</v>
      </c>
      <c r="J53" t="s">
        <v>306</v>
      </c>
      <c r="K53">
        <v>3</v>
      </c>
      <c r="L53" t="s">
        <v>307</v>
      </c>
    </row>
    <row r="54" spans="1:20" ht="15.75" thickBot="1">
      <c r="A54" s="238"/>
      <c r="B54" t="s">
        <v>299</v>
      </c>
      <c r="D54" s="166"/>
    </row>
    <row r="55" spans="1:20" ht="30">
      <c r="A55" s="238"/>
      <c r="B55" s="167" t="s">
        <v>310</v>
      </c>
      <c r="C55" s="161">
        <f>'6.Riep. car. travi e mom. flet.'!$H$12</f>
        <v>74.255841471508049</v>
      </c>
      <c r="D55" s="170" t="s">
        <v>293</v>
      </c>
      <c r="F55" s="445" t="s">
        <v>309</v>
      </c>
      <c r="G55" s="175" t="s">
        <v>296</v>
      </c>
      <c r="H55" s="171">
        <v>1.7000000000000001E-2</v>
      </c>
      <c r="J55" s="448" t="s">
        <v>302</v>
      </c>
      <c r="K55" s="448"/>
    </row>
    <row r="56" spans="1:20">
      <c r="A56" s="238"/>
      <c r="B56" s="168" t="s">
        <v>298</v>
      </c>
      <c r="C56" s="178">
        <v>0</v>
      </c>
      <c r="D56" s="170" t="s">
        <v>293</v>
      </c>
      <c r="F56" s="446"/>
      <c r="G56" s="176" t="s">
        <v>297</v>
      </c>
      <c r="H56" s="174">
        <f>(G53-K53)*10^-2</f>
        <v>0.23</v>
      </c>
      <c r="J56" s="210" t="s">
        <v>286</v>
      </c>
      <c r="K56" s="174">
        <v>0.26</v>
      </c>
    </row>
    <row r="57" spans="1:20" ht="15.75" thickBot="1">
      <c r="A57" s="238"/>
      <c r="B57" s="169" t="s">
        <v>311</v>
      </c>
      <c r="C57" s="172">
        <f>C55+C56</f>
        <v>74.255841471508049</v>
      </c>
      <c r="D57" s="170" t="s">
        <v>293</v>
      </c>
      <c r="F57" s="447"/>
      <c r="G57" s="175" t="s">
        <v>285</v>
      </c>
      <c r="H57" s="67">
        <f>(C57*H55^2)/H56^2</f>
        <v>0.40566990898423116</v>
      </c>
      <c r="J57" s="210" t="s">
        <v>285</v>
      </c>
      <c r="K57" s="174">
        <v>0.5</v>
      </c>
    </row>
    <row r="58" spans="1:20">
      <c r="A58" s="238"/>
    </row>
    <row r="61" spans="1:20" ht="15.75" thickBot="1">
      <c r="B61" s="165"/>
      <c r="C61" s="165" t="s">
        <v>379</v>
      </c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</row>
    <row r="62" spans="1:20" ht="15.75" thickTop="1">
      <c r="A62" s="238"/>
      <c r="F62" t="s">
        <v>306</v>
      </c>
      <c r="G62">
        <v>3</v>
      </c>
      <c r="H62" t="s">
        <v>307</v>
      </c>
    </row>
    <row r="63" spans="1:20" ht="15.75">
      <c r="A63" s="238"/>
      <c r="B63" s="205" t="s">
        <v>303</v>
      </c>
      <c r="D63" s="205"/>
      <c r="F63" s="449" t="s">
        <v>304</v>
      </c>
      <c r="G63" s="449"/>
      <c r="H63" s="449"/>
      <c r="I63" s="449"/>
      <c r="J63" s="449"/>
      <c r="K63" s="449"/>
      <c r="L63" s="449"/>
    </row>
    <row r="64" spans="1:20">
      <c r="A64" s="238"/>
      <c r="B64" t="s">
        <v>377</v>
      </c>
      <c r="C64" s="206"/>
      <c r="F64" t="s">
        <v>376</v>
      </c>
      <c r="J64" t="s">
        <v>375</v>
      </c>
      <c r="O64" t="s">
        <v>306</v>
      </c>
      <c r="P64">
        <v>3</v>
      </c>
      <c r="Q64" t="s">
        <v>307</v>
      </c>
    </row>
    <row r="65" spans="1:20" ht="15.75" thickBot="1">
      <c r="A65" s="238"/>
      <c r="B65" t="s">
        <v>299</v>
      </c>
      <c r="D65" s="166"/>
      <c r="F65" t="s">
        <v>299</v>
      </c>
      <c r="G65" s="206"/>
      <c r="H65" s="166"/>
      <c r="J65" t="s">
        <v>299</v>
      </c>
      <c r="K65" s="206"/>
      <c r="L65" s="166"/>
    </row>
    <row r="66" spans="1:20" ht="45">
      <c r="A66" s="238"/>
      <c r="B66" s="167" t="s">
        <v>300</v>
      </c>
      <c r="C66" s="161">
        <f>'6.Riep. car. travi e mom. flet.'!$I$11</f>
        <v>162.49205758499994</v>
      </c>
      <c r="D66" s="170" t="s">
        <v>293</v>
      </c>
      <c r="F66" s="167" t="s">
        <v>300</v>
      </c>
      <c r="G66" s="161">
        <f>'6.Riep. car. travi e mom. flet.'!$I$5</f>
        <v>157.62281969374999</v>
      </c>
      <c r="H66" s="170" t="s">
        <v>293</v>
      </c>
      <c r="J66" s="167" t="s">
        <v>300</v>
      </c>
      <c r="K66" s="161">
        <f>'6.Riep. car. travi e mom. flet.'!$I$18</f>
        <v>52.113203878124999</v>
      </c>
      <c r="L66" s="170" t="s">
        <v>293</v>
      </c>
      <c r="N66" s="1">
        <f>C68</f>
        <v>468.19888428013201</v>
      </c>
      <c r="O66" s="445" t="s">
        <v>301</v>
      </c>
      <c r="P66" s="175" t="s">
        <v>296</v>
      </c>
      <c r="Q66" s="171">
        <v>1.7000000000000001E-2</v>
      </c>
      <c r="S66" s="448" t="s">
        <v>302</v>
      </c>
      <c r="T66" s="448"/>
    </row>
    <row r="67" spans="1:20">
      <c r="A67" s="238"/>
      <c r="B67" s="168" t="s">
        <v>298</v>
      </c>
      <c r="C67" s="178">
        <f>'9.Car.sollecitazione'!$F$11</f>
        <v>305.70682669513207</v>
      </c>
      <c r="D67" s="170" t="s">
        <v>293</v>
      </c>
      <c r="F67" s="168" t="s">
        <v>298</v>
      </c>
      <c r="G67" s="178">
        <f>'9.Car.sollecitazione'!$E$22</f>
        <v>366.84819203415844</v>
      </c>
      <c r="H67" s="170" t="s">
        <v>293</v>
      </c>
      <c r="J67" s="168" t="s">
        <v>298</v>
      </c>
      <c r="K67" s="178">
        <f>'9.Car.sollecitazione'!$E$22</f>
        <v>366.84819203415844</v>
      </c>
      <c r="L67" s="170" t="s">
        <v>293</v>
      </c>
      <c r="N67" s="1">
        <f>MIN(K68,G68)</f>
        <v>418.96139591228342</v>
      </c>
      <c r="O67" s="446"/>
      <c r="P67" s="176" t="s">
        <v>285</v>
      </c>
      <c r="Q67" s="174">
        <v>0.3</v>
      </c>
      <c r="S67" s="210" t="s">
        <v>285</v>
      </c>
      <c r="T67" s="174">
        <v>0.3</v>
      </c>
    </row>
    <row r="68" spans="1:20" ht="15.75" thickBot="1">
      <c r="A68" s="238"/>
      <c r="B68" s="169" t="s">
        <v>311</v>
      </c>
      <c r="C68" s="172">
        <f>C66+C67</f>
        <v>468.19888428013201</v>
      </c>
      <c r="D68" s="170" t="s">
        <v>293</v>
      </c>
      <c r="F68" s="169" t="s">
        <v>311</v>
      </c>
      <c r="G68" s="172">
        <f>G66+G67</f>
        <v>524.47101172790849</v>
      </c>
      <c r="H68" s="170" t="s">
        <v>293</v>
      </c>
      <c r="J68" s="169" t="s">
        <v>311</v>
      </c>
      <c r="K68" s="172">
        <f>K66+K67</f>
        <v>418.96139591228342</v>
      </c>
      <c r="L68" s="170" t="s">
        <v>293</v>
      </c>
      <c r="N68" s="1">
        <f>MAX(N66:N67)</f>
        <v>468.19888428013201</v>
      </c>
      <c r="O68" s="447"/>
      <c r="P68" s="175" t="s">
        <v>297</v>
      </c>
      <c r="Q68" s="67">
        <f>Q66*SQRT(N68/Q67)</f>
        <v>0.67158885626291276</v>
      </c>
      <c r="S68" s="210" t="s">
        <v>286</v>
      </c>
      <c r="T68" s="174">
        <v>0.75</v>
      </c>
    </row>
    <row r="69" spans="1:20">
      <c r="A69" s="238"/>
    </row>
    <row r="70" spans="1:20">
      <c r="A70" s="238"/>
    </row>
    <row r="71" spans="1:20" ht="15.75">
      <c r="A71" s="238"/>
      <c r="B71" s="205" t="s">
        <v>305</v>
      </c>
      <c r="C71" s="205"/>
      <c r="D71" s="205"/>
    </row>
    <row r="72" spans="1:20">
      <c r="A72" s="238"/>
      <c r="B72" t="s">
        <v>378</v>
      </c>
      <c r="C72" s="206"/>
      <c r="F72" t="s">
        <v>308</v>
      </c>
      <c r="G72">
        <v>26</v>
      </c>
      <c r="H72" t="s">
        <v>307</v>
      </c>
      <c r="J72" t="s">
        <v>306</v>
      </c>
      <c r="K72">
        <v>3</v>
      </c>
      <c r="L72" t="s">
        <v>307</v>
      </c>
    </row>
    <row r="73" spans="1:20" ht="15.75" thickBot="1">
      <c r="A73" s="238"/>
      <c r="B73" t="s">
        <v>299</v>
      </c>
      <c r="D73" s="166"/>
    </row>
    <row r="74" spans="1:20" ht="30">
      <c r="A74" s="238"/>
      <c r="B74" s="167" t="s">
        <v>310</v>
      </c>
      <c r="C74" s="161">
        <f>'6.Riep. car. travi e mom. flet.'!$H$12</f>
        <v>74.255841471508049</v>
      </c>
      <c r="D74" s="170" t="s">
        <v>293</v>
      </c>
      <c r="F74" s="445" t="s">
        <v>309</v>
      </c>
      <c r="G74" s="175" t="s">
        <v>296</v>
      </c>
      <c r="H74" s="171">
        <v>1.7000000000000001E-2</v>
      </c>
      <c r="J74" s="448" t="s">
        <v>302</v>
      </c>
      <c r="K74" s="448"/>
    </row>
    <row r="75" spans="1:20">
      <c r="A75" s="238"/>
      <c r="B75" s="168" t="s">
        <v>298</v>
      </c>
      <c r="C75" s="178">
        <v>0</v>
      </c>
      <c r="D75" s="170" t="s">
        <v>293</v>
      </c>
      <c r="F75" s="446"/>
      <c r="G75" s="176" t="s">
        <v>297</v>
      </c>
      <c r="H75" s="174">
        <f>(G72-K72)*10^-2</f>
        <v>0.23</v>
      </c>
      <c r="J75" s="210" t="s">
        <v>286</v>
      </c>
      <c r="K75" s="174">
        <v>0.26</v>
      </c>
    </row>
    <row r="76" spans="1:20" ht="15.75" thickBot="1">
      <c r="A76" s="238"/>
      <c r="B76" s="169" t="s">
        <v>311</v>
      </c>
      <c r="C76" s="172">
        <f>C74+C75</f>
        <v>74.255841471508049</v>
      </c>
      <c r="D76" s="170" t="s">
        <v>293</v>
      </c>
      <c r="F76" s="447"/>
      <c r="G76" s="175" t="s">
        <v>285</v>
      </c>
      <c r="H76" s="67">
        <f>(C76*H74^2)/H75^2</f>
        <v>0.40566990898423116</v>
      </c>
      <c r="J76" s="210" t="s">
        <v>285</v>
      </c>
      <c r="K76" s="174">
        <v>0.5</v>
      </c>
    </row>
    <row r="77" spans="1:20">
      <c r="A77" s="238"/>
    </row>
    <row r="79" spans="1:20" ht="15.75" thickBot="1">
      <c r="B79" s="165"/>
      <c r="C79" s="165" t="s">
        <v>381</v>
      </c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</row>
    <row r="80" spans="1:20" ht="15.75" thickTop="1">
      <c r="A80" s="238"/>
      <c r="F80" t="s">
        <v>306</v>
      </c>
      <c r="G80">
        <v>3</v>
      </c>
      <c r="H80" t="s">
        <v>307</v>
      </c>
    </row>
    <row r="81" spans="1:20" ht="15.75">
      <c r="A81" s="238"/>
      <c r="B81" s="205" t="s">
        <v>303</v>
      </c>
      <c r="D81" s="205"/>
      <c r="F81" s="449" t="s">
        <v>304</v>
      </c>
      <c r="G81" s="449"/>
      <c r="H81" s="449"/>
      <c r="I81" s="449"/>
      <c r="J81" s="449"/>
      <c r="K81" s="449"/>
      <c r="L81" s="449"/>
    </row>
    <row r="82" spans="1:20">
      <c r="A82" s="238"/>
      <c r="B82" t="s">
        <v>377</v>
      </c>
      <c r="C82" s="99"/>
      <c r="F82" t="s">
        <v>376</v>
      </c>
      <c r="J82" t="s">
        <v>375</v>
      </c>
      <c r="O82" t="s">
        <v>306</v>
      </c>
      <c r="P82">
        <v>3</v>
      </c>
      <c r="Q82" t="s">
        <v>307</v>
      </c>
    </row>
    <row r="83" spans="1:20" ht="15.75" thickBot="1">
      <c r="A83" s="238"/>
      <c r="B83" t="s">
        <v>299</v>
      </c>
      <c r="D83" s="166"/>
      <c r="F83" t="s">
        <v>299</v>
      </c>
      <c r="G83" s="99"/>
      <c r="H83" s="166"/>
      <c r="J83" t="s">
        <v>299</v>
      </c>
      <c r="K83" s="206"/>
      <c r="L83" s="166"/>
    </row>
    <row r="84" spans="1:20" ht="30" customHeight="1">
      <c r="A84" s="238"/>
      <c r="B84" s="167" t="s">
        <v>300</v>
      </c>
      <c r="C84" s="161">
        <f>'6.Riep. car. travi e mom. flet.'!$I$11</f>
        <v>162.49205758499994</v>
      </c>
      <c r="D84" s="170" t="s">
        <v>293</v>
      </c>
      <c r="F84" s="167" t="s">
        <v>300</v>
      </c>
      <c r="G84" s="161">
        <f>'6.Riep. car. travi e mom. flet.'!$I$5</f>
        <v>157.62281969374999</v>
      </c>
      <c r="H84" s="170" t="s">
        <v>293</v>
      </c>
      <c r="J84" s="167" t="s">
        <v>300</v>
      </c>
      <c r="K84" s="161">
        <f>'6.Riep. car. travi e mom. flet.'!$I$18</f>
        <v>52.113203878124999</v>
      </c>
      <c r="L84" s="170" t="s">
        <v>293</v>
      </c>
      <c r="N84" s="1">
        <f>C86</f>
        <v>402.77697302243126</v>
      </c>
      <c r="O84" s="445" t="s">
        <v>301</v>
      </c>
      <c r="P84" s="175" t="s">
        <v>296</v>
      </c>
      <c r="Q84" s="171">
        <v>1.7000000000000001E-2</v>
      </c>
      <c r="S84" s="448" t="s">
        <v>302</v>
      </c>
      <c r="T84" s="448"/>
    </row>
    <row r="85" spans="1:20">
      <c r="A85" s="238"/>
      <c r="B85" s="168" t="s">
        <v>298</v>
      </c>
      <c r="C85" s="178">
        <f>'9.Car.sollecitazione'!$F$10</f>
        <v>240.28491543743132</v>
      </c>
      <c r="D85" s="170" t="s">
        <v>293</v>
      </c>
      <c r="F85" s="168" t="s">
        <v>298</v>
      </c>
      <c r="G85" s="178">
        <f>'9.Car.sollecitazione'!$E$21</f>
        <v>288.34189852491755</v>
      </c>
      <c r="H85" s="170" t="s">
        <v>293</v>
      </c>
      <c r="J85" s="168" t="s">
        <v>298</v>
      </c>
      <c r="K85" s="178">
        <f>'9.Car.sollecitazione'!$E$21</f>
        <v>288.34189852491755</v>
      </c>
      <c r="L85" s="170" t="s">
        <v>293</v>
      </c>
      <c r="N85" s="1">
        <f>MIN(K86,G86)</f>
        <v>340.45510240304253</v>
      </c>
      <c r="O85" s="446"/>
      <c r="P85" s="176" t="s">
        <v>285</v>
      </c>
      <c r="Q85" s="174">
        <v>0.3</v>
      </c>
      <c r="S85" s="210" t="s">
        <v>285</v>
      </c>
      <c r="T85" s="174">
        <v>0.3</v>
      </c>
    </row>
    <row r="86" spans="1:20" ht="15.75" thickBot="1">
      <c r="A86" s="238"/>
      <c r="B86" s="169" t="s">
        <v>311</v>
      </c>
      <c r="C86" s="172">
        <f>C84+C85</f>
        <v>402.77697302243126</v>
      </c>
      <c r="D86" s="170" t="s">
        <v>293</v>
      </c>
      <c r="F86" s="169" t="s">
        <v>311</v>
      </c>
      <c r="G86" s="172">
        <f>G84+G85</f>
        <v>445.96471821866754</v>
      </c>
      <c r="H86" s="170" t="s">
        <v>293</v>
      </c>
      <c r="J86" s="169" t="s">
        <v>311</v>
      </c>
      <c r="K86" s="172">
        <f>K84+K85</f>
        <v>340.45510240304253</v>
      </c>
      <c r="L86" s="170" t="s">
        <v>293</v>
      </c>
      <c r="N86" s="1">
        <f>MAX(N84:N85)</f>
        <v>402.77697302243126</v>
      </c>
      <c r="O86" s="447"/>
      <c r="P86" s="175" t="s">
        <v>297</v>
      </c>
      <c r="Q86" s="67">
        <f>Q84*SQRT(N86/Q85)</f>
        <v>0.62290327018856539</v>
      </c>
      <c r="S86" s="210" t="s">
        <v>286</v>
      </c>
      <c r="T86" s="174">
        <v>0.65</v>
      </c>
    </row>
    <row r="87" spans="1:20">
      <c r="A87" s="238"/>
    </row>
    <row r="88" spans="1:20">
      <c r="A88" s="238"/>
    </row>
    <row r="89" spans="1:20" ht="15.75">
      <c r="A89" s="238"/>
      <c r="B89" s="205" t="s">
        <v>305</v>
      </c>
      <c r="C89" s="205"/>
      <c r="D89" s="205"/>
    </row>
    <row r="90" spans="1:20">
      <c r="A90" s="238"/>
      <c r="B90" t="s">
        <v>378</v>
      </c>
      <c r="C90" s="99"/>
      <c r="F90" t="s">
        <v>308</v>
      </c>
      <c r="G90">
        <v>26</v>
      </c>
      <c r="H90" t="s">
        <v>307</v>
      </c>
      <c r="J90" t="s">
        <v>306</v>
      </c>
      <c r="K90">
        <v>3</v>
      </c>
      <c r="L90" t="s">
        <v>307</v>
      </c>
    </row>
    <row r="91" spans="1:20" ht="15.75" thickBot="1">
      <c r="A91" s="238"/>
      <c r="B91" t="s">
        <v>299</v>
      </c>
      <c r="D91" s="166"/>
    </row>
    <row r="92" spans="1:20" ht="30">
      <c r="A92" s="238"/>
      <c r="B92" s="167" t="s">
        <v>310</v>
      </c>
      <c r="C92" s="161">
        <f>'6.Riep. car. travi e mom. flet.'!$H$12</f>
        <v>74.255841471508049</v>
      </c>
      <c r="D92" s="170" t="s">
        <v>293</v>
      </c>
      <c r="F92" s="445" t="s">
        <v>309</v>
      </c>
      <c r="G92" s="175" t="s">
        <v>296</v>
      </c>
      <c r="H92" s="171">
        <v>1.7000000000000001E-2</v>
      </c>
      <c r="J92" s="448" t="s">
        <v>302</v>
      </c>
      <c r="K92" s="448"/>
    </row>
    <row r="93" spans="1:20">
      <c r="A93" s="238"/>
      <c r="B93" s="168" t="s">
        <v>298</v>
      </c>
      <c r="C93" s="178">
        <v>0</v>
      </c>
      <c r="D93" s="170" t="s">
        <v>293</v>
      </c>
      <c r="F93" s="446"/>
      <c r="G93" s="176" t="s">
        <v>297</v>
      </c>
      <c r="H93" s="174">
        <f>(G90-K90)*10^-2</f>
        <v>0.23</v>
      </c>
      <c r="J93" s="173" t="s">
        <v>286</v>
      </c>
      <c r="K93" s="174">
        <v>0.26</v>
      </c>
    </row>
    <row r="94" spans="1:20" ht="15.75" thickBot="1">
      <c r="A94" s="238"/>
      <c r="B94" s="169" t="s">
        <v>311</v>
      </c>
      <c r="C94" s="172">
        <f>C92+C93</f>
        <v>74.255841471508049</v>
      </c>
      <c r="D94" s="170" t="s">
        <v>293</v>
      </c>
      <c r="F94" s="447"/>
      <c r="G94" s="175" t="s">
        <v>285</v>
      </c>
      <c r="H94" s="67">
        <f>(C94*H92^2)/H93^2</f>
        <v>0.40566990898423116</v>
      </c>
      <c r="J94" s="173" t="s">
        <v>285</v>
      </c>
      <c r="K94" s="174">
        <v>0.5</v>
      </c>
    </row>
    <row r="95" spans="1:20">
      <c r="A95" s="238"/>
    </row>
  </sheetData>
  <mergeCells count="33">
    <mergeCell ref="O47:O49"/>
    <mergeCell ref="S47:T47"/>
    <mergeCell ref="F55:F57"/>
    <mergeCell ref="J55:K55"/>
    <mergeCell ref="O30:O32"/>
    <mergeCell ref="S30:T30"/>
    <mergeCell ref="F38:F40"/>
    <mergeCell ref="J38:K38"/>
    <mergeCell ref="F44:L44"/>
    <mergeCell ref="O66:O68"/>
    <mergeCell ref="S66:T66"/>
    <mergeCell ref="O84:O86"/>
    <mergeCell ref="S84:T84"/>
    <mergeCell ref="F81:L81"/>
    <mergeCell ref="F92:F94"/>
    <mergeCell ref="J92:K92"/>
    <mergeCell ref="F74:F76"/>
    <mergeCell ref="J74:K74"/>
    <mergeCell ref="F27:L27"/>
    <mergeCell ref="F63:L63"/>
    <mergeCell ref="M7:O7"/>
    <mergeCell ref="C7:E7"/>
    <mergeCell ref="F7:H7"/>
    <mergeCell ref="I7:K7"/>
    <mergeCell ref="C10:E10"/>
    <mergeCell ref="F10:H10"/>
    <mergeCell ref="B14:B15"/>
    <mergeCell ref="D14:E14"/>
    <mergeCell ref="C3:K3"/>
    <mergeCell ref="C4:E4"/>
    <mergeCell ref="F4:H4"/>
    <mergeCell ref="I4:K4"/>
    <mergeCell ref="H15:K15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F20"/>
  <sheetViews>
    <sheetView workbookViewId="0">
      <selection activeCell="D19" sqref="D19"/>
    </sheetView>
  </sheetViews>
  <sheetFormatPr defaultRowHeight="15"/>
  <cols>
    <col min="1" max="1" width="10" customWidth="1"/>
    <col min="4" max="4" width="9.140625" customWidth="1"/>
  </cols>
  <sheetData>
    <row r="2" spans="1:6">
      <c r="A2" t="s">
        <v>355</v>
      </c>
    </row>
    <row r="3" spans="1:6" ht="15.75" thickBot="1"/>
    <row r="4" spans="1:6" ht="15.75" thickBot="1">
      <c r="A4" s="196" t="s">
        <v>354</v>
      </c>
      <c r="B4" s="197" t="s">
        <v>285</v>
      </c>
      <c r="C4" s="197" t="s">
        <v>286</v>
      </c>
      <c r="D4" s="450" t="s">
        <v>356</v>
      </c>
      <c r="E4" s="451"/>
    </row>
    <row r="5" spans="1:6">
      <c r="A5" s="188" t="s">
        <v>265</v>
      </c>
      <c r="B5" s="99">
        <v>30</v>
      </c>
      <c r="C5" s="99">
        <v>70</v>
      </c>
      <c r="D5" s="452" t="s">
        <v>361</v>
      </c>
      <c r="E5" s="453"/>
      <c r="F5">
        <v>70</v>
      </c>
    </row>
    <row r="6" spans="1:6">
      <c r="A6" s="188">
        <v>5</v>
      </c>
      <c r="B6" s="99">
        <v>30</v>
      </c>
      <c r="C6" s="99">
        <v>70</v>
      </c>
      <c r="D6" s="452" t="s">
        <v>360</v>
      </c>
      <c r="E6" s="453"/>
      <c r="F6">
        <v>70</v>
      </c>
    </row>
    <row r="7" spans="1:6">
      <c r="A7" s="188">
        <v>4</v>
      </c>
      <c r="B7" s="99">
        <v>30</v>
      </c>
      <c r="C7" s="99">
        <v>70</v>
      </c>
      <c r="D7" s="452" t="s">
        <v>360</v>
      </c>
      <c r="E7" s="453"/>
      <c r="F7">
        <v>70</v>
      </c>
    </row>
    <row r="8" spans="1:6">
      <c r="A8" s="188">
        <v>3</v>
      </c>
      <c r="B8" s="99">
        <v>30</v>
      </c>
      <c r="C8" s="99">
        <v>80</v>
      </c>
      <c r="D8" s="452" t="s">
        <v>359</v>
      </c>
      <c r="E8" s="453"/>
      <c r="F8">
        <v>80</v>
      </c>
    </row>
    <row r="9" spans="1:6">
      <c r="A9" s="188">
        <v>2</v>
      </c>
      <c r="B9" s="99">
        <v>30</v>
      </c>
      <c r="C9" s="244">
        <v>80</v>
      </c>
      <c r="D9" s="452" t="s">
        <v>357</v>
      </c>
      <c r="E9" s="453"/>
      <c r="F9">
        <v>80</v>
      </c>
    </row>
    <row r="10" spans="1:6">
      <c r="A10" s="188">
        <v>1</v>
      </c>
      <c r="B10" s="99">
        <v>30</v>
      </c>
      <c r="C10" s="244">
        <v>80</v>
      </c>
      <c r="D10" s="452" t="s">
        <v>358</v>
      </c>
      <c r="E10" s="453"/>
      <c r="F10">
        <v>80</v>
      </c>
    </row>
    <row r="12" spans="1:6" ht="15.75" thickBot="1">
      <c r="A12" t="s">
        <v>362</v>
      </c>
    </row>
    <row r="13" spans="1:6" ht="15.75" thickBot="1">
      <c r="B13" s="454" t="s">
        <v>111</v>
      </c>
      <c r="C13" s="451"/>
      <c r="D13" s="450" t="s">
        <v>112</v>
      </c>
      <c r="E13" s="451"/>
    </row>
    <row r="14" spans="1:6" ht="15.75" thickBot="1">
      <c r="A14" s="196" t="s">
        <v>354</v>
      </c>
      <c r="B14" s="197" t="s">
        <v>285</v>
      </c>
      <c r="C14" s="197" t="s">
        <v>286</v>
      </c>
      <c r="D14" s="197" t="s">
        <v>285</v>
      </c>
      <c r="E14" s="199" t="s">
        <v>286</v>
      </c>
    </row>
    <row r="15" spans="1:6">
      <c r="A15" s="188" t="s">
        <v>265</v>
      </c>
      <c r="B15" s="99">
        <v>30</v>
      </c>
      <c r="C15" s="239">
        <f>'10.Dim. pilastri e travi'!$T$86*100</f>
        <v>65</v>
      </c>
      <c r="D15" s="244">
        <f>'10.Dim. pilastri e travi'!$K$94*100</f>
        <v>50</v>
      </c>
      <c r="E15" s="244">
        <v>26</v>
      </c>
      <c r="F15" s="184">
        <v>60</v>
      </c>
    </row>
    <row r="16" spans="1:6">
      <c r="A16" s="188">
        <v>5</v>
      </c>
      <c r="B16" s="99">
        <v>30</v>
      </c>
      <c r="C16" s="239">
        <f>'10.Dim. pilastri e travi'!$T$86*100</f>
        <v>65</v>
      </c>
      <c r="D16" s="244">
        <f>'10.Dim. pilastri e travi'!$K$94*100</f>
        <v>50</v>
      </c>
      <c r="E16" s="244">
        <v>26</v>
      </c>
      <c r="F16" s="184">
        <v>60</v>
      </c>
    </row>
    <row r="17" spans="1:6">
      <c r="A17" s="188">
        <v>4</v>
      </c>
      <c r="B17" s="99">
        <v>30</v>
      </c>
      <c r="C17" s="239">
        <f>'10.Dim. pilastri e travi'!$T$86*100</f>
        <v>65</v>
      </c>
      <c r="D17" s="99">
        <f>'10.Dim. pilastri e travi'!$K$94*100</f>
        <v>50</v>
      </c>
      <c r="E17" s="244">
        <v>26</v>
      </c>
      <c r="F17" s="184">
        <v>70</v>
      </c>
    </row>
    <row r="18" spans="1:6">
      <c r="A18" s="188">
        <v>3</v>
      </c>
      <c r="B18" s="99">
        <v>30</v>
      </c>
      <c r="C18" s="239">
        <f>'10.Dim. pilastri e travi'!$T$68*100</f>
        <v>75</v>
      </c>
      <c r="D18" s="99">
        <f>'10.Dim. pilastri e travi'!$K$76*100</f>
        <v>50</v>
      </c>
      <c r="E18" s="244">
        <v>26</v>
      </c>
      <c r="F18" s="184">
        <v>70</v>
      </c>
    </row>
    <row r="19" spans="1:6">
      <c r="A19" s="188">
        <v>2</v>
      </c>
      <c r="B19" s="99">
        <v>30</v>
      </c>
      <c r="C19" s="239">
        <f>'10.Dim. pilastri e travi'!$T$49*100</f>
        <v>75</v>
      </c>
      <c r="D19" s="99">
        <f>'10.Dim. pilastri e travi'!$K$57*100</f>
        <v>50</v>
      </c>
      <c r="E19" s="244">
        <v>26</v>
      </c>
      <c r="F19" s="184">
        <v>70</v>
      </c>
    </row>
    <row r="20" spans="1:6">
      <c r="A20" s="198">
        <v>1</v>
      </c>
      <c r="B20" s="41">
        <v>30</v>
      </c>
      <c r="C20" s="240">
        <f>'10.Dim. pilastri e travi'!$T$32*100</f>
        <v>75</v>
      </c>
      <c r="D20" s="200">
        <f>'10.Dim. pilastri e travi'!K40*100</f>
        <v>50</v>
      </c>
      <c r="E20" s="244">
        <v>26</v>
      </c>
      <c r="F20" s="184">
        <v>80</v>
      </c>
    </row>
  </sheetData>
  <mergeCells count="9">
    <mergeCell ref="D13:E13"/>
    <mergeCell ref="D10:E10"/>
    <mergeCell ref="B13:C13"/>
    <mergeCell ref="D4:E4"/>
    <mergeCell ref="D5:E5"/>
    <mergeCell ref="D6:E6"/>
    <mergeCell ref="D7:E7"/>
    <mergeCell ref="D8:E8"/>
    <mergeCell ref="D9:E9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C228"/>
  <sheetViews>
    <sheetView topLeftCell="C208" zoomScale="70" zoomScaleNormal="70" workbookViewId="0">
      <selection activeCell="Z222" sqref="Z222"/>
    </sheetView>
  </sheetViews>
  <sheetFormatPr defaultRowHeight="15"/>
  <cols>
    <col min="1" max="1" width="2.28515625" customWidth="1"/>
    <col min="2" max="2" width="16" customWidth="1"/>
    <col min="6" max="6" width="11.28515625" customWidth="1"/>
    <col min="14" max="14" width="11.42578125" customWidth="1"/>
    <col min="17" max="17" width="15.28515625" customWidth="1"/>
  </cols>
  <sheetData>
    <row r="1" spans="1:29">
      <c r="B1" t="s">
        <v>315</v>
      </c>
      <c r="C1">
        <v>31500</v>
      </c>
      <c r="D1" t="s">
        <v>316</v>
      </c>
    </row>
    <row r="2" spans="1:29">
      <c r="B2" s="180" t="s">
        <v>327</v>
      </c>
      <c r="C2" s="233" t="s">
        <v>330</v>
      </c>
    </row>
    <row r="3" spans="1:29" ht="15" customHeight="1">
      <c r="A3" s="256"/>
      <c r="B3" s="474" t="s">
        <v>321</v>
      </c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6"/>
      <c r="Q3" s="474" t="s">
        <v>329</v>
      </c>
      <c r="R3" s="475"/>
      <c r="S3" s="475"/>
      <c r="T3" s="475"/>
      <c r="U3" s="475"/>
      <c r="V3" s="475"/>
      <c r="W3" s="475"/>
      <c r="X3" s="475"/>
      <c r="Y3" s="475"/>
      <c r="Z3" s="475"/>
      <c r="AA3" s="475"/>
      <c r="AB3" s="476"/>
    </row>
    <row r="4" spans="1:29">
      <c r="A4" s="32"/>
      <c r="B4" s="470" t="s">
        <v>317</v>
      </c>
      <c r="C4" s="471"/>
      <c r="D4" s="471"/>
      <c r="E4" s="471"/>
      <c r="F4" s="471"/>
      <c r="G4" s="88"/>
      <c r="H4" s="231"/>
      <c r="I4" s="88"/>
      <c r="J4" s="88"/>
      <c r="K4" s="88"/>
      <c r="L4" s="88"/>
      <c r="M4" s="231"/>
      <c r="Q4" s="470" t="s">
        <v>383</v>
      </c>
      <c r="R4" s="471"/>
      <c r="S4" s="471"/>
      <c r="T4" s="471"/>
      <c r="U4" s="471"/>
      <c r="V4" s="88"/>
      <c r="W4" s="231"/>
      <c r="X4" s="88"/>
      <c r="Y4" s="88"/>
      <c r="Z4" s="88"/>
      <c r="AA4" s="88"/>
      <c r="AB4" s="231"/>
    </row>
    <row r="5" spans="1:29" ht="15" customHeight="1">
      <c r="A5" s="246"/>
      <c r="B5" s="341"/>
      <c r="C5" s="469" t="s">
        <v>319</v>
      </c>
      <c r="D5" s="469" t="s">
        <v>323</v>
      </c>
      <c r="E5" s="429" t="s">
        <v>324</v>
      </c>
      <c r="F5" s="469" t="s">
        <v>325</v>
      </c>
      <c r="G5" s="429" t="s">
        <v>365</v>
      </c>
      <c r="H5" s="429" t="s">
        <v>366</v>
      </c>
      <c r="I5" s="429" t="s">
        <v>367</v>
      </c>
      <c r="J5" s="460" t="s">
        <v>368</v>
      </c>
      <c r="K5" s="429" t="s">
        <v>363</v>
      </c>
      <c r="L5" s="461" t="s">
        <v>369</v>
      </c>
      <c r="M5" s="463" t="s">
        <v>370</v>
      </c>
      <c r="N5" s="465" t="s">
        <v>320</v>
      </c>
      <c r="Q5" s="341"/>
      <c r="R5" s="469" t="s">
        <v>319</v>
      </c>
      <c r="S5" s="469" t="s">
        <v>323</v>
      </c>
      <c r="T5" s="429" t="s">
        <v>324</v>
      </c>
      <c r="U5" s="469" t="s">
        <v>325</v>
      </c>
      <c r="V5" s="429" t="s">
        <v>365</v>
      </c>
      <c r="W5" s="429" t="s">
        <v>366</v>
      </c>
      <c r="X5" s="429" t="s">
        <v>367</v>
      </c>
      <c r="Y5" s="460" t="s">
        <v>368</v>
      </c>
      <c r="Z5" s="429" t="s">
        <v>363</v>
      </c>
      <c r="AA5" s="461" t="s">
        <v>369</v>
      </c>
      <c r="AB5" s="463" t="s">
        <v>370</v>
      </c>
      <c r="AC5" s="465" t="s">
        <v>320</v>
      </c>
    </row>
    <row r="6" spans="1:29">
      <c r="A6" s="246"/>
      <c r="B6" s="341"/>
      <c r="C6" s="429"/>
      <c r="D6" s="429"/>
      <c r="E6" s="429"/>
      <c r="F6" s="429"/>
      <c r="G6" s="429"/>
      <c r="H6" s="429"/>
      <c r="I6" s="429"/>
      <c r="J6" s="429"/>
      <c r="K6" s="429"/>
      <c r="L6" s="461"/>
      <c r="M6" s="464"/>
      <c r="N6" s="466"/>
      <c r="Q6" s="341"/>
      <c r="R6" s="429"/>
      <c r="S6" s="429"/>
      <c r="T6" s="429"/>
      <c r="U6" s="429"/>
      <c r="V6" s="429"/>
      <c r="W6" s="429"/>
      <c r="X6" s="429"/>
      <c r="Y6" s="429"/>
      <c r="Z6" s="429"/>
      <c r="AA6" s="461"/>
      <c r="AB6" s="464"/>
      <c r="AC6" s="466"/>
    </row>
    <row r="7" spans="1:29">
      <c r="A7" s="242"/>
      <c r="B7" s="57" t="s">
        <v>314</v>
      </c>
      <c r="C7" s="213">
        <f>'11.Riep. dim. travi e pil.'!$B$10</f>
        <v>30</v>
      </c>
      <c r="D7" s="214">
        <f>'11.Riep. dim. travi e pil.'!$C$10</f>
        <v>80</v>
      </c>
      <c r="E7" s="215">
        <f>C7*D7^3/12</f>
        <v>1280000</v>
      </c>
      <c r="F7" s="216">
        <v>3.8</v>
      </c>
      <c r="G7" s="217">
        <f>$C$1*E7/F7/100</f>
        <v>106105263.15789475</v>
      </c>
      <c r="H7" s="218"/>
      <c r="I7" s="218"/>
      <c r="J7" s="219">
        <f>12*G7/F7^2/1000000</f>
        <v>88.176118967779573</v>
      </c>
      <c r="K7" s="220">
        <f>G7/(H8+H9)*2</f>
        <v>1.029746352413019</v>
      </c>
      <c r="L7" s="221">
        <f>1/(1+0.5*(K7+K10+2/3*K7*K10)/(1+(K7+K10)/6))</f>
        <v>0.69470861631123992</v>
      </c>
      <c r="M7" s="236">
        <f>J7*L7</f>
        <v>61.256709599801425</v>
      </c>
      <c r="N7" s="237">
        <v>4</v>
      </c>
      <c r="Q7" s="57" t="s">
        <v>314</v>
      </c>
      <c r="R7" s="213">
        <f>'11.Riep. dim. travi e pil.'!$B$10</f>
        <v>30</v>
      </c>
      <c r="S7" s="214">
        <f>'11.Riep. dim. travi e pil.'!$C$10</f>
        <v>80</v>
      </c>
      <c r="T7" s="215">
        <f>R7*S7^3/12</f>
        <v>1280000</v>
      </c>
      <c r="U7" s="216">
        <v>3.8</v>
      </c>
      <c r="V7" s="217">
        <f>$C$1*T7/U7/100</f>
        <v>106105263.15789475</v>
      </c>
      <c r="W7" s="218"/>
      <c r="X7" s="218"/>
      <c r="Y7" s="219">
        <f>12*V7/U7^2/1000000</f>
        <v>88.176118967779573</v>
      </c>
      <c r="Z7" s="220">
        <f>V7/(W8+W9)*2</f>
        <v>2.331446393762183</v>
      </c>
      <c r="AA7" s="221">
        <f>1/(1+0.5*(Z7+Z10+2/3*Z7*Z10)/(1+(Z7+Z10)/6))</f>
        <v>0.54362279525339707</v>
      </c>
      <c r="AB7" s="236">
        <f>Y7*AA7</f>
        <v>47.934548267860414</v>
      </c>
      <c r="AC7" s="237">
        <v>10</v>
      </c>
    </row>
    <row r="8" spans="1:29">
      <c r="A8" s="32"/>
      <c r="B8" s="211" t="s">
        <v>332</v>
      </c>
      <c r="C8" s="222">
        <f>'11.Riep. dim. travi e pil.'!$B$20</f>
        <v>30</v>
      </c>
      <c r="D8" s="202">
        <f>'11.Riep. dim. travi e pil.'!$C$20</f>
        <v>75</v>
      </c>
      <c r="E8" s="201">
        <f>C8*D8^3/12</f>
        <v>1054687.5</v>
      </c>
      <c r="F8" s="203">
        <v>3.8</v>
      </c>
      <c r="G8" s="31"/>
      <c r="H8" s="223">
        <f>$C$1*E8/F8/100</f>
        <v>87428042.763157904</v>
      </c>
      <c r="I8" s="31"/>
      <c r="J8" s="31"/>
      <c r="K8" s="329" t="s">
        <v>364</v>
      </c>
      <c r="L8" s="31"/>
      <c r="M8" s="31"/>
      <c r="N8" s="32"/>
      <c r="Q8" s="211" t="s">
        <v>332</v>
      </c>
      <c r="R8" s="222">
        <f>'11.Riep. dim. travi e pil.'!$B$20</f>
        <v>30</v>
      </c>
      <c r="S8" s="202">
        <f>'11.Riep. dim. travi e pil.'!$C$20</f>
        <v>75</v>
      </c>
      <c r="T8" s="232">
        <f>R8*S8^3/12</f>
        <v>1054687.5</v>
      </c>
      <c r="U8" s="203">
        <v>3.65</v>
      </c>
      <c r="V8" s="31"/>
      <c r="W8" s="223">
        <f>$C$1*T8/U8/100</f>
        <v>91020976.027397275</v>
      </c>
      <c r="X8" s="31"/>
      <c r="Y8" s="31"/>
      <c r="Z8" s="329" t="s">
        <v>364</v>
      </c>
      <c r="AA8" s="31"/>
      <c r="AB8" s="31"/>
      <c r="AC8" s="32"/>
    </row>
    <row r="9" spans="1:29">
      <c r="A9" s="32"/>
      <c r="B9" s="211" t="s">
        <v>333</v>
      </c>
      <c r="C9" s="222">
        <f>'11.Riep. dim. travi e pil.'!$B$20</f>
        <v>30</v>
      </c>
      <c r="D9" s="202">
        <f>'11.Riep. dim. travi e pil.'!$C$20</f>
        <v>75</v>
      </c>
      <c r="E9" s="201">
        <f t="shared" ref="E9:E11" si="0">C9*D9^3/12</f>
        <v>1054687.5</v>
      </c>
      <c r="F9" s="207">
        <v>2.8</v>
      </c>
      <c r="G9" s="31"/>
      <c r="H9" s="223">
        <f>$C$1*E9/F9/100</f>
        <v>118652343.75</v>
      </c>
      <c r="I9" s="31"/>
      <c r="J9" s="31"/>
      <c r="K9" s="329"/>
      <c r="L9" s="31"/>
      <c r="M9" s="31"/>
      <c r="N9" s="32"/>
      <c r="Q9" s="211" t="s">
        <v>333</v>
      </c>
      <c r="R9" s="222">
        <v>0</v>
      </c>
      <c r="S9" s="202">
        <f>IF(R9=0,0,'11.Riep. dim. travi e pil.'!$C$20)</f>
        <v>0</v>
      </c>
      <c r="T9" s="232">
        <f t="shared" ref="T9" si="1">R9*S9^3/12</f>
        <v>0</v>
      </c>
      <c r="U9" s="207">
        <v>0</v>
      </c>
      <c r="V9" s="31"/>
      <c r="W9" s="223">
        <f>IF(R9=0,0,$C$1*T9/U9/100)</f>
        <v>0</v>
      </c>
      <c r="X9" s="31"/>
      <c r="Y9" s="31"/>
      <c r="Z9" s="329"/>
      <c r="AA9" s="31"/>
      <c r="AB9" s="31"/>
      <c r="AC9" s="32"/>
    </row>
    <row r="10" spans="1:29">
      <c r="A10" s="32"/>
      <c r="B10" s="212" t="s">
        <v>371</v>
      </c>
      <c r="C10" s="224">
        <v>0</v>
      </c>
      <c r="D10" s="208">
        <v>0</v>
      </c>
      <c r="E10" s="209">
        <f t="shared" si="0"/>
        <v>0</v>
      </c>
      <c r="F10" s="472" t="s">
        <v>322</v>
      </c>
      <c r="G10" s="472"/>
      <c r="H10" s="472"/>
      <c r="I10" s="225">
        <f>IF(C10=0,10^99,$C$1*E10/F8/100)</f>
        <v>9.9999999999999997E+98</v>
      </c>
      <c r="J10" s="31"/>
      <c r="K10" s="226">
        <f>G7/(I10+I11)*2</f>
        <v>1.0610526315789475E-91</v>
      </c>
      <c r="L10" s="31"/>
      <c r="M10" s="31"/>
      <c r="N10" s="32"/>
      <c r="Q10" s="212" t="s">
        <v>371</v>
      </c>
      <c r="R10" s="224">
        <v>0</v>
      </c>
      <c r="S10" s="208">
        <v>0</v>
      </c>
      <c r="T10" s="209">
        <f t="shared" ref="T10:T11" si="2">R10*S10^3/12</f>
        <v>0</v>
      </c>
      <c r="U10" s="472" t="s">
        <v>322</v>
      </c>
      <c r="V10" s="472"/>
      <c r="W10" s="472"/>
      <c r="X10" s="225">
        <f>IF(R10=0,10^99,$C$1*T10/U8/100)</f>
        <v>9.9999999999999997E+98</v>
      </c>
      <c r="Y10" s="31"/>
      <c r="Z10" s="226">
        <f>V7/(X10+X11)*2</f>
        <v>1.0610526315789475E-91</v>
      </c>
      <c r="AA10" s="31"/>
      <c r="AB10" s="31"/>
      <c r="AC10" s="32"/>
    </row>
    <row r="11" spans="1:29">
      <c r="A11" s="32"/>
      <c r="B11" s="212" t="s">
        <v>372</v>
      </c>
      <c r="C11" s="227">
        <v>0</v>
      </c>
      <c r="D11" s="228">
        <v>0</v>
      </c>
      <c r="E11" s="229">
        <f t="shared" si="0"/>
        <v>0</v>
      </c>
      <c r="F11" s="473"/>
      <c r="G11" s="473"/>
      <c r="H11" s="473"/>
      <c r="I11" s="230">
        <f>IF(C11=0,10^99,$C$1*E11/F9/100)</f>
        <v>9.9999999999999997E+98</v>
      </c>
      <c r="J11" s="42"/>
      <c r="K11" s="42"/>
      <c r="L11" s="42"/>
      <c r="M11" s="42"/>
      <c r="N11" s="44"/>
      <c r="Q11" s="212" t="s">
        <v>372</v>
      </c>
      <c r="R11" s="227">
        <v>0</v>
      </c>
      <c r="S11" s="228">
        <v>0</v>
      </c>
      <c r="T11" s="229">
        <f t="shared" si="2"/>
        <v>0</v>
      </c>
      <c r="U11" s="473"/>
      <c r="V11" s="473"/>
      <c r="W11" s="473"/>
      <c r="X11" s="230">
        <f>IF(R11=0,10^99,$C$1*T11/U9/100)</f>
        <v>9.9999999999999997E+98</v>
      </c>
      <c r="Y11" s="42"/>
      <c r="Z11" s="42"/>
      <c r="AA11" s="42"/>
      <c r="AB11" s="42"/>
      <c r="AC11" s="44"/>
    </row>
    <row r="12" spans="1:29">
      <c r="A12" s="242"/>
      <c r="B12" s="467" t="s">
        <v>373</v>
      </c>
      <c r="C12" s="468"/>
      <c r="D12" s="468"/>
      <c r="E12" s="468"/>
      <c r="F12" s="468"/>
      <c r="N12" s="204"/>
      <c r="O12" s="31"/>
      <c r="Q12" s="467" t="s">
        <v>384</v>
      </c>
      <c r="R12" s="468"/>
      <c r="S12" s="468"/>
      <c r="T12" s="468"/>
      <c r="U12" s="468"/>
      <c r="AC12" s="232"/>
    </row>
    <row r="13" spans="1:29">
      <c r="A13" s="32"/>
      <c r="B13" s="341"/>
      <c r="C13" s="469" t="s">
        <v>319</v>
      </c>
      <c r="D13" s="469" t="s">
        <v>323</v>
      </c>
      <c r="E13" s="429" t="s">
        <v>324</v>
      </c>
      <c r="F13" s="469" t="s">
        <v>325</v>
      </c>
      <c r="G13" s="429" t="s">
        <v>365</v>
      </c>
      <c r="H13" s="429" t="s">
        <v>366</v>
      </c>
      <c r="I13" s="429" t="s">
        <v>367</v>
      </c>
      <c r="J13" s="460" t="s">
        <v>368</v>
      </c>
      <c r="K13" s="429" t="s">
        <v>363</v>
      </c>
      <c r="L13" s="461" t="s">
        <v>369</v>
      </c>
      <c r="M13" s="463" t="s">
        <v>370</v>
      </c>
      <c r="N13" s="465" t="s">
        <v>320</v>
      </c>
      <c r="Q13" s="341"/>
      <c r="R13" s="469" t="s">
        <v>319</v>
      </c>
      <c r="S13" s="469" t="s">
        <v>323</v>
      </c>
      <c r="T13" s="429" t="s">
        <v>324</v>
      </c>
      <c r="U13" s="469" t="s">
        <v>325</v>
      </c>
      <c r="V13" s="429" t="s">
        <v>365</v>
      </c>
      <c r="W13" s="429" t="s">
        <v>366</v>
      </c>
      <c r="X13" s="429" t="s">
        <v>367</v>
      </c>
      <c r="Y13" s="460" t="s">
        <v>368</v>
      </c>
      <c r="Z13" s="429" t="s">
        <v>363</v>
      </c>
      <c r="AA13" s="461" t="s">
        <v>369</v>
      </c>
      <c r="AB13" s="463" t="s">
        <v>370</v>
      </c>
      <c r="AC13" s="465" t="s">
        <v>320</v>
      </c>
    </row>
    <row r="14" spans="1:29">
      <c r="A14" s="32"/>
      <c r="B14" s="341"/>
      <c r="C14" s="459"/>
      <c r="D14" s="459"/>
      <c r="E14" s="459"/>
      <c r="F14" s="459"/>
      <c r="G14" s="459"/>
      <c r="H14" s="459"/>
      <c r="I14" s="459"/>
      <c r="J14" s="459"/>
      <c r="K14" s="459"/>
      <c r="L14" s="462"/>
      <c r="M14" s="464"/>
      <c r="N14" s="466"/>
      <c r="Q14" s="341"/>
      <c r="R14" s="459"/>
      <c r="S14" s="459"/>
      <c r="T14" s="459"/>
      <c r="U14" s="459"/>
      <c r="V14" s="459"/>
      <c r="W14" s="459"/>
      <c r="X14" s="459"/>
      <c r="Y14" s="459"/>
      <c r="Z14" s="459"/>
      <c r="AA14" s="462"/>
      <c r="AB14" s="464"/>
      <c r="AC14" s="466"/>
    </row>
    <row r="15" spans="1:29" ht="33.75" customHeight="1">
      <c r="A15" s="32"/>
      <c r="B15" s="87" t="s">
        <v>314</v>
      </c>
      <c r="C15" s="213">
        <f>'11.Riep. dim. travi e pil.'!$B$10</f>
        <v>30</v>
      </c>
      <c r="D15" s="214">
        <f>'11.Riep. dim. travi e pil.'!$C$10</f>
        <v>80</v>
      </c>
      <c r="E15" s="215">
        <f>C15*D15^3/12</f>
        <v>1280000</v>
      </c>
      <c r="F15" s="216">
        <v>3.8</v>
      </c>
      <c r="G15" s="217">
        <f>$C$1*E15/F15/100</f>
        <v>106105263.15789475</v>
      </c>
      <c r="H15" s="218"/>
      <c r="I15" s="218"/>
      <c r="J15" s="219">
        <f>12*G15/F15^2/1000000</f>
        <v>88.176118967779573</v>
      </c>
      <c r="K15" s="220">
        <f>G15/(H16+H17)*2</f>
        <v>3.4173255360623784</v>
      </c>
      <c r="L15" s="221">
        <f>1/(1+0.5*(K15+K18+2/3*K15*K18)/(1+(K15+K18)/6))</f>
        <v>0.47878290073527668</v>
      </c>
      <c r="M15" s="236">
        <f>J15*L15</f>
        <v>42.217218014972353</v>
      </c>
      <c r="N15" s="237">
        <v>8</v>
      </c>
      <c r="Q15" s="87" t="s">
        <v>314</v>
      </c>
      <c r="R15" s="213">
        <f>'11.Riep. dim. travi e pil.'!$B$10</f>
        <v>30</v>
      </c>
      <c r="S15" s="214">
        <f>'11.Riep. dim. travi e pil.'!$C$10</f>
        <v>80</v>
      </c>
      <c r="T15" s="215">
        <f>R15*S15^3/12</f>
        <v>1280000</v>
      </c>
      <c r="U15" s="216">
        <v>3.8</v>
      </c>
      <c r="V15" s="217">
        <f>$C$1*T15/U15/100</f>
        <v>106105263.15789475</v>
      </c>
      <c r="W15" s="218"/>
      <c r="X15" s="218"/>
      <c r="Y15" s="219">
        <f>12*V15/U15^2/1000000</f>
        <v>88.176118967779573</v>
      </c>
      <c r="Z15" s="220">
        <f>V15/(W16+W17)*2</f>
        <v>1.3150785460382985</v>
      </c>
      <c r="AA15" s="221">
        <f>1/(1+0.5*(Z15+Z18+2/3*Z15*Z18)/(1+(Z15+Z18)/6))</f>
        <v>0.64963360936526227</v>
      </c>
      <c r="AB15" s="236">
        <f>Y15*AA15</f>
        <v>57.282170424859409</v>
      </c>
      <c r="AC15" s="237">
        <v>6</v>
      </c>
    </row>
    <row r="16" spans="1:29">
      <c r="A16" s="242"/>
      <c r="B16" s="234" t="s">
        <v>332</v>
      </c>
      <c r="C16" s="222">
        <f>'11.Riep. dim. travi e pil.'!$B$20</f>
        <v>30</v>
      </c>
      <c r="D16" s="202">
        <f>'11.Riep. dim. travi e pil.'!$C$20</f>
        <v>75</v>
      </c>
      <c r="E16" s="204">
        <f>C16*D16^3/12</f>
        <v>1054687.5</v>
      </c>
      <c r="F16" s="203">
        <v>5.35</v>
      </c>
      <c r="G16" s="31"/>
      <c r="H16" s="223">
        <f>$C$1*E16/F16/100</f>
        <v>62098422.897196263</v>
      </c>
      <c r="I16" s="31"/>
      <c r="J16" s="31"/>
      <c r="K16" s="329" t="s">
        <v>364</v>
      </c>
      <c r="L16" s="31"/>
      <c r="M16" s="31"/>
      <c r="N16" s="32"/>
      <c r="Q16" s="234" t="s">
        <v>332</v>
      </c>
      <c r="R16" s="222">
        <f>'11.Riep. dim. travi e pil.'!$B$20</f>
        <v>30</v>
      </c>
      <c r="S16" s="202">
        <f>'11.Riep. dim. travi e pil.'!$C$20</f>
        <v>75</v>
      </c>
      <c r="T16" s="232">
        <f>R16*S16^3/12</f>
        <v>1054687.5</v>
      </c>
      <c r="U16" s="203">
        <v>5</v>
      </c>
      <c r="V16" s="31"/>
      <c r="W16" s="223">
        <f>$C$1*T16/U16/100</f>
        <v>66445312.5</v>
      </c>
      <c r="X16" s="31"/>
      <c r="Y16" s="31"/>
      <c r="Z16" s="329" t="s">
        <v>364</v>
      </c>
      <c r="AA16" s="31"/>
      <c r="AB16" s="31"/>
      <c r="AC16" s="32"/>
    </row>
    <row r="17" spans="1:29">
      <c r="A17" s="32"/>
      <c r="B17" s="234" t="s">
        <v>333</v>
      </c>
      <c r="C17" s="222">
        <v>0</v>
      </c>
      <c r="D17" s="202">
        <f>IF(C17=0,0,'11.Riep. dim. travi e pil.'!$C$20)</f>
        <v>0</v>
      </c>
      <c r="E17" s="204">
        <f t="shared" ref="E17:E19" si="3">C17*D17^3/12</f>
        <v>0</v>
      </c>
      <c r="F17" s="207">
        <v>0</v>
      </c>
      <c r="G17" s="31"/>
      <c r="H17" s="223">
        <f>IF(C17=0,0,$C$1*E17/F17/100)</f>
        <v>0</v>
      </c>
      <c r="I17" s="31"/>
      <c r="J17" s="31"/>
      <c r="K17" s="329"/>
      <c r="L17" s="31"/>
      <c r="M17" s="31"/>
      <c r="N17" s="32"/>
      <c r="Q17" s="234" t="s">
        <v>333</v>
      </c>
      <c r="R17" s="222">
        <v>30</v>
      </c>
      <c r="S17" s="202">
        <f>IF(R17=0,0,'11.Riep. dim. travi e pil.'!$C$20)</f>
        <v>75</v>
      </c>
      <c r="T17" s="232">
        <f t="shared" ref="T17:T19" si="4">R17*S17^3/12</f>
        <v>1054687.5</v>
      </c>
      <c r="U17" s="207">
        <v>3.5</v>
      </c>
      <c r="V17" s="31"/>
      <c r="W17" s="223">
        <f>IF(R17=0,0,$C$1*T17/U17/100)</f>
        <v>94921875</v>
      </c>
      <c r="X17" s="31"/>
      <c r="Y17" s="31"/>
      <c r="Z17" s="329"/>
      <c r="AA17" s="31"/>
      <c r="AB17" s="31"/>
      <c r="AC17" s="32"/>
    </row>
    <row r="18" spans="1:29">
      <c r="A18" s="32"/>
      <c r="B18" s="235" t="s">
        <v>371</v>
      </c>
      <c r="C18" s="224">
        <v>0</v>
      </c>
      <c r="D18" s="208">
        <v>0</v>
      </c>
      <c r="E18" s="209">
        <f t="shared" si="3"/>
        <v>0</v>
      </c>
      <c r="F18" s="472" t="s">
        <v>322</v>
      </c>
      <c r="G18" s="472"/>
      <c r="H18" s="472"/>
      <c r="I18" s="225">
        <f>IF(C18=0,10^99,$C$1*E18/F16/100)</f>
        <v>9.9999999999999997E+98</v>
      </c>
      <c r="J18" s="31"/>
      <c r="K18" s="226">
        <f>G15/(I18+I19)*2</f>
        <v>1.0610526315789475E-91</v>
      </c>
      <c r="L18" s="31"/>
      <c r="M18" s="31"/>
      <c r="N18" s="32"/>
      <c r="Q18" s="235" t="s">
        <v>371</v>
      </c>
      <c r="R18" s="224">
        <v>0</v>
      </c>
      <c r="S18" s="208">
        <v>0</v>
      </c>
      <c r="T18" s="209">
        <f t="shared" si="4"/>
        <v>0</v>
      </c>
      <c r="U18" s="472" t="s">
        <v>322</v>
      </c>
      <c r="V18" s="472"/>
      <c r="W18" s="472"/>
      <c r="X18" s="225">
        <f>IF(R18=0,10^99,$C$1*T18/U16/100)</f>
        <v>9.9999999999999997E+98</v>
      </c>
      <c r="Y18" s="31"/>
      <c r="Z18" s="226">
        <f>V15/(X18+X19)*2</f>
        <v>1.0610526315789475E-91</v>
      </c>
      <c r="AA18" s="31"/>
      <c r="AB18" s="31"/>
      <c r="AC18" s="32"/>
    </row>
    <row r="19" spans="1:29">
      <c r="A19" s="32"/>
      <c r="B19" s="235" t="s">
        <v>372</v>
      </c>
      <c r="C19" s="227">
        <v>0</v>
      </c>
      <c r="D19" s="228">
        <v>0</v>
      </c>
      <c r="E19" s="229">
        <f t="shared" si="3"/>
        <v>0</v>
      </c>
      <c r="F19" s="473"/>
      <c r="G19" s="473"/>
      <c r="H19" s="473"/>
      <c r="I19" s="230">
        <f>IF(C19=0,10^99,$C$1*E19/F17/100)</f>
        <v>9.9999999999999997E+98</v>
      </c>
      <c r="J19" s="42"/>
      <c r="K19" s="42"/>
      <c r="L19" s="42"/>
      <c r="M19" s="42"/>
      <c r="N19" s="44"/>
      <c r="Q19" s="235" t="s">
        <v>372</v>
      </c>
      <c r="R19" s="227">
        <v>0</v>
      </c>
      <c r="S19" s="228">
        <v>0</v>
      </c>
      <c r="T19" s="229">
        <f t="shared" si="4"/>
        <v>0</v>
      </c>
      <c r="U19" s="473"/>
      <c r="V19" s="473"/>
      <c r="W19" s="473"/>
      <c r="X19" s="230">
        <f>IF(R19=0,10^99,$C$1*T19/U17/100)</f>
        <v>9.9999999999999997E+98</v>
      </c>
      <c r="Y19" s="42"/>
      <c r="Z19" s="42"/>
      <c r="AA19" s="42"/>
      <c r="AB19" s="42"/>
      <c r="AC19" s="44"/>
    </row>
    <row r="20" spans="1:29">
      <c r="A20" s="242"/>
      <c r="B20" s="467" t="s">
        <v>318</v>
      </c>
      <c r="C20" s="468"/>
      <c r="D20" s="468"/>
      <c r="E20" s="468"/>
      <c r="F20" s="468"/>
      <c r="Q20" s="467" t="s">
        <v>385</v>
      </c>
      <c r="R20" s="468"/>
      <c r="S20" s="468"/>
      <c r="T20" s="468"/>
      <c r="U20" s="468"/>
    </row>
    <row r="21" spans="1:29">
      <c r="A21" s="32"/>
      <c r="B21" s="341"/>
      <c r="C21" s="469" t="s">
        <v>319</v>
      </c>
      <c r="D21" s="469" t="s">
        <v>323</v>
      </c>
      <c r="E21" s="429" t="s">
        <v>324</v>
      </c>
      <c r="F21" s="469" t="s">
        <v>325</v>
      </c>
      <c r="G21" s="429" t="s">
        <v>365</v>
      </c>
      <c r="H21" s="429" t="s">
        <v>366</v>
      </c>
      <c r="I21" s="429" t="s">
        <v>367</v>
      </c>
      <c r="J21" s="460" t="s">
        <v>368</v>
      </c>
      <c r="K21" s="429" t="s">
        <v>363</v>
      </c>
      <c r="L21" s="461" t="s">
        <v>369</v>
      </c>
      <c r="M21" s="463" t="s">
        <v>370</v>
      </c>
      <c r="N21" s="465" t="s">
        <v>320</v>
      </c>
      <c r="Q21" s="341"/>
      <c r="R21" s="469" t="s">
        <v>319</v>
      </c>
      <c r="S21" s="469" t="s">
        <v>323</v>
      </c>
      <c r="T21" s="429" t="s">
        <v>324</v>
      </c>
      <c r="U21" s="469" t="s">
        <v>325</v>
      </c>
      <c r="V21" s="429" t="s">
        <v>365</v>
      </c>
      <c r="W21" s="429" t="s">
        <v>366</v>
      </c>
      <c r="X21" s="429" t="s">
        <v>367</v>
      </c>
      <c r="Y21" s="460" t="s">
        <v>368</v>
      </c>
      <c r="Z21" s="429" t="s">
        <v>363</v>
      </c>
      <c r="AA21" s="461" t="s">
        <v>369</v>
      </c>
      <c r="AB21" s="463" t="s">
        <v>370</v>
      </c>
      <c r="AC21" s="465" t="s">
        <v>320</v>
      </c>
    </row>
    <row r="22" spans="1:29">
      <c r="A22" s="32"/>
      <c r="B22" s="341"/>
      <c r="C22" s="459"/>
      <c r="D22" s="459"/>
      <c r="E22" s="459"/>
      <c r="F22" s="459"/>
      <c r="G22" s="459"/>
      <c r="H22" s="459"/>
      <c r="I22" s="459"/>
      <c r="J22" s="459"/>
      <c r="K22" s="459"/>
      <c r="L22" s="462"/>
      <c r="M22" s="464"/>
      <c r="N22" s="466"/>
      <c r="Q22" s="341"/>
      <c r="R22" s="459"/>
      <c r="S22" s="459"/>
      <c r="T22" s="459"/>
      <c r="U22" s="459"/>
      <c r="V22" s="459"/>
      <c r="W22" s="459"/>
      <c r="X22" s="459"/>
      <c r="Y22" s="459"/>
      <c r="Z22" s="459"/>
      <c r="AA22" s="462"/>
      <c r="AB22" s="464"/>
      <c r="AC22" s="466"/>
    </row>
    <row r="23" spans="1:29">
      <c r="A23" s="32"/>
      <c r="B23" s="87" t="s">
        <v>314</v>
      </c>
      <c r="C23" s="213">
        <f>'11.Riep. dim. travi e pil.'!$B$10</f>
        <v>30</v>
      </c>
      <c r="D23" s="214">
        <f>'11.Riep. dim. travi e pil.'!$C$10</f>
        <v>80</v>
      </c>
      <c r="E23" s="215">
        <f>C23*D23^3/12</f>
        <v>1280000</v>
      </c>
      <c r="F23" s="216">
        <v>3.8</v>
      </c>
      <c r="G23" s="217">
        <f>$C$1*E23/F23/100</f>
        <v>106105263.15789475</v>
      </c>
      <c r="H23" s="218"/>
      <c r="I23" s="218"/>
      <c r="J23" s="219">
        <f>12*G23/F23^2/1000000</f>
        <v>88.176118967779573</v>
      </c>
      <c r="K23" s="220">
        <f>G23/(H24+H25)*2</f>
        <v>1.6548250626566419</v>
      </c>
      <c r="L23" s="221">
        <f>1/(1+0.5*(K23+K26+2/3*K23*K26)/(1+(K23+K26)/6))</f>
        <v>0.60659663456985802</v>
      </c>
      <c r="M23" s="236">
        <f>J23*L23</f>
        <v>53.487337015286514</v>
      </c>
      <c r="N23" s="237">
        <v>2</v>
      </c>
      <c r="Q23" s="87" t="s">
        <v>314</v>
      </c>
      <c r="R23" s="213">
        <f>'11.Riep. dim. travi e pil.'!$C$10</f>
        <v>80</v>
      </c>
      <c r="S23" s="214">
        <f>'11.Riep. dim. travi e pil.'!$B$10</f>
        <v>30</v>
      </c>
      <c r="T23" s="215">
        <f>R23*S23^3/12</f>
        <v>180000</v>
      </c>
      <c r="U23" s="216">
        <v>3.8</v>
      </c>
      <c r="V23" s="217">
        <f>$C$1*T23/U23/100</f>
        <v>14921052.631578948</v>
      </c>
      <c r="W23" s="218"/>
      <c r="X23" s="218"/>
      <c r="Y23" s="219">
        <f>12*V23/U23^2/1000000</f>
        <v>12.399766729844</v>
      </c>
      <c r="Z23" s="249">
        <f>V23/(W24+W25)*2</f>
        <v>5.9506983206765209</v>
      </c>
      <c r="AA23" s="221">
        <f>1/(1+0.5*(Z23+Z26+2/3*Z23*Z26)/(1+(Z23+Z26)/6))</f>
        <v>0.40099255822477736</v>
      </c>
      <c r="AB23" s="236">
        <f>Y23*AA23</f>
        <v>4.9722141823906272</v>
      </c>
      <c r="AC23" s="237">
        <v>6</v>
      </c>
    </row>
    <row r="24" spans="1:29" ht="15" customHeight="1">
      <c r="A24" s="32"/>
      <c r="B24" s="234" t="s">
        <v>332</v>
      </c>
      <c r="C24" s="222">
        <f>'11.Riep. dim. travi e pil.'!$B$20</f>
        <v>30</v>
      </c>
      <c r="D24" s="202">
        <f>'11.Riep. dim. travi e pil.'!$C$20</f>
        <v>75</v>
      </c>
      <c r="E24" s="204">
        <f>C24*D24^3/12</f>
        <v>1054687.5</v>
      </c>
      <c r="F24" s="203">
        <v>5.85</v>
      </c>
      <c r="G24" s="31"/>
      <c r="H24" s="223">
        <f>$C$1*E24/F24/100</f>
        <v>56790865.384615391</v>
      </c>
      <c r="I24" s="31"/>
      <c r="J24" s="31"/>
      <c r="K24" s="329" t="s">
        <v>364</v>
      </c>
      <c r="L24" s="31"/>
      <c r="M24" s="31"/>
      <c r="N24" s="32"/>
      <c r="Q24" s="234" t="s">
        <v>332</v>
      </c>
      <c r="R24" s="222">
        <f>'11.Riep. dim. travi e pil.'!$D$20</f>
        <v>50</v>
      </c>
      <c r="S24" s="202">
        <f>'11.Riep. dim. travi e pil.'!$E$20</f>
        <v>26</v>
      </c>
      <c r="T24" s="232">
        <f>R24*S24^3/12</f>
        <v>73233.333333333328</v>
      </c>
      <c r="U24" s="203">
        <v>4.5999999999999996</v>
      </c>
      <c r="V24" s="31"/>
      <c r="W24" s="223">
        <f>$C$1*T24/U24/100</f>
        <v>5014891.3043478262</v>
      </c>
      <c r="X24" s="31"/>
      <c r="Y24" s="31"/>
      <c r="Z24" s="329" t="s">
        <v>364</v>
      </c>
      <c r="AA24" s="31"/>
      <c r="AB24" s="31"/>
      <c r="AC24" s="32"/>
    </row>
    <row r="25" spans="1:29">
      <c r="A25" s="242"/>
      <c r="B25" s="234" t="s">
        <v>333</v>
      </c>
      <c r="C25" s="222">
        <v>30</v>
      </c>
      <c r="D25" s="202">
        <f>IF(C25=0,0,'11.Riep. dim. travi e pil.'!$C$20)</f>
        <v>75</v>
      </c>
      <c r="E25" s="204">
        <f t="shared" ref="E25:E27" si="5">C25*D25^3/12</f>
        <v>1054687.5</v>
      </c>
      <c r="F25" s="207">
        <v>4.6500000000000004</v>
      </c>
      <c r="G25" s="31"/>
      <c r="H25" s="223">
        <f>IF(C25=0,0,$C$1*E25/F25/100)</f>
        <v>71446572.580645144</v>
      </c>
      <c r="I25" s="31"/>
      <c r="J25" s="31"/>
      <c r="K25" s="329"/>
      <c r="L25" s="31"/>
      <c r="M25" s="31"/>
      <c r="N25" s="32"/>
      <c r="Q25" s="234" t="s">
        <v>333</v>
      </c>
      <c r="R25" s="222">
        <v>0</v>
      </c>
      <c r="S25" s="202">
        <f>IF(R25=0,0,'11.Riep. dim. travi e pil.'!$E$20)</f>
        <v>0</v>
      </c>
      <c r="T25" s="232">
        <f t="shared" ref="T25:T27" si="6">R25*S25^3/12</f>
        <v>0</v>
      </c>
      <c r="U25" s="207">
        <v>0</v>
      </c>
      <c r="V25" s="31"/>
      <c r="W25" s="223">
        <f>IF(R25=0,0,$C$1*T25/U25/100)</f>
        <v>0</v>
      </c>
      <c r="X25" s="31"/>
      <c r="Y25" s="31"/>
      <c r="Z25" s="329"/>
      <c r="AA25" s="31"/>
      <c r="AB25" s="31"/>
      <c r="AC25" s="32"/>
    </row>
    <row r="26" spans="1:29">
      <c r="A26" s="32"/>
      <c r="B26" s="235" t="s">
        <v>371</v>
      </c>
      <c r="C26" s="224">
        <v>0</v>
      </c>
      <c r="D26" s="208">
        <v>0</v>
      </c>
      <c r="E26" s="209">
        <f t="shared" si="5"/>
        <v>0</v>
      </c>
      <c r="F26" s="472" t="s">
        <v>322</v>
      </c>
      <c r="G26" s="472"/>
      <c r="H26" s="472"/>
      <c r="I26" s="225">
        <f>IF(C26=0,10^99,$C$1*E26/F24/100)</f>
        <v>9.9999999999999997E+98</v>
      </c>
      <c r="J26" s="31"/>
      <c r="K26" s="226">
        <f>G23/(I26+I27)*2</f>
        <v>1.0610526315789475E-91</v>
      </c>
      <c r="L26" s="31"/>
      <c r="M26" s="31"/>
      <c r="N26" s="32"/>
      <c r="Q26" s="235" t="s">
        <v>371</v>
      </c>
      <c r="R26" s="224">
        <v>0</v>
      </c>
      <c r="S26" s="208">
        <v>0</v>
      </c>
      <c r="T26" s="209">
        <f t="shared" si="6"/>
        <v>0</v>
      </c>
      <c r="U26" s="472" t="s">
        <v>322</v>
      </c>
      <c r="V26" s="472"/>
      <c r="W26" s="472"/>
      <c r="X26" s="225">
        <f>IF(R26=0,10^99,$C$1*T26/U24/100)</f>
        <v>9.9999999999999997E+98</v>
      </c>
      <c r="Y26" s="31"/>
      <c r="Z26" s="226">
        <f>V23/(X26+X27)*2</f>
        <v>1.4921052631578948E-92</v>
      </c>
      <c r="AA26" s="31"/>
      <c r="AB26" s="31"/>
      <c r="AC26" s="32"/>
    </row>
    <row r="27" spans="1:29">
      <c r="A27" s="32"/>
      <c r="B27" s="235" t="s">
        <v>372</v>
      </c>
      <c r="C27" s="227">
        <v>0</v>
      </c>
      <c r="D27" s="228">
        <v>0</v>
      </c>
      <c r="E27" s="229">
        <f t="shared" si="5"/>
        <v>0</v>
      </c>
      <c r="F27" s="473"/>
      <c r="G27" s="473"/>
      <c r="H27" s="473"/>
      <c r="I27" s="230">
        <f>IF(C27=0,10^99,$C$1*E27/F25/100)</f>
        <v>9.9999999999999997E+98</v>
      </c>
      <c r="J27" s="42"/>
      <c r="K27" s="42"/>
      <c r="L27" s="42"/>
      <c r="M27" s="42"/>
      <c r="N27" s="44"/>
      <c r="Q27" s="235" t="s">
        <v>372</v>
      </c>
      <c r="R27" s="227">
        <v>0</v>
      </c>
      <c r="S27" s="228">
        <v>0</v>
      </c>
      <c r="T27" s="229">
        <f t="shared" si="6"/>
        <v>0</v>
      </c>
      <c r="U27" s="473"/>
      <c r="V27" s="473"/>
      <c r="W27" s="473"/>
      <c r="X27" s="230">
        <f>IF(R27=0,10^99,$C$1*T27/U25/100)</f>
        <v>9.9999999999999997E+98</v>
      </c>
      <c r="Y27" s="42"/>
      <c r="Z27" s="42"/>
      <c r="AA27" s="42"/>
      <c r="AB27" s="42"/>
      <c r="AC27" s="44"/>
    </row>
    <row r="28" spans="1:29" ht="17.25" customHeight="1">
      <c r="A28" s="32"/>
      <c r="B28" s="467" t="s">
        <v>382</v>
      </c>
      <c r="C28" s="468"/>
      <c r="D28" s="468"/>
      <c r="E28" s="468"/>
      <c r="F28" s="468"/>
      <c r="Q28" s="467" t="s">
        <v>386</v>
      </c>
      <c r="R28" s="468"/>
      <c r="S28" s="468"/>
      <c r="T28" s="468"/>
      <c r="U28" s="468"/>
    </row>
    <row r="29" spans="1:29">
      <c r="A29" s="242"/>
      <c r="B29" s="341"/>
      <c r="C29" s="469" t="s">
        <v>319</v>
      </c>
      <c r="D29" s="469" t="s">
        <v>323</v>
      </c>
      <c r="E29" s="429" t="s">
        <v>324</v>
      </c>
      <c r="F29" s="469" t="s">
        <v>325</v>
      </c>
      <c r="G29" s="429" t="s">
        <v>365</v>
      </c>
      <c r="H29" s="429" t="s">
        <v>366</v>
      </c>
      <c r="I29" s="429" t="s">
        <v>367</v>
      </c>
      <c r="J29" s="460" t="s">
        <v>368</v>
      </c>
      <c r="K29" s="429" t="s">
        <v>363</v>
      </c>
      <c r="L29" s="461" t="s">
        <v>369</v>
      </c>
      <c r="M29" s="463" t="s">
        <v>370</v>
      </c>
      <c r="N29" s="465" t="s">
        <v>320</v>
      </c>
      <c r="Q29" s="341"/>
      <c r="R29" s="469" t="s">
        <v>319</v>
      </c>
      <c r="S29" s="469" t="s">
        <v>323</v>
      </c>
      <c r="T29" s="429" t="s">
        <v>324</v>
      </c>
      <c r="U29" s="469" t="s">
        <v>325</v>
      </c>
      <c r="V29" s="429" t="s">
        <v>365</v>
      </c>
      <c r="W29" s="429" t="s">
        <v>366</v>
      </c>
      <c r="X29" s="429" t="s">
        <v>367</v>
      </c>
      <c r="Y29" s="460" t="s">
        <v>368</v>
      </c>
      <c r="Z29" s="429" t="s">
        <v>363</v>
      </c>
      <c r="AA29" s="461" t="s">
        <v>369</v>
      </c>
      <c r="AB29" s="463" t="s">
        <v>370</v>
      </c>
      <c r="AC29" s="465" t="s">
        <v>320</v>
      </c>
    </row>
    <row r="30" spans="1:29">
      <c r="A30" s="32"/>
      <c r="B30" s="341"/>
      <c r="C30" s="459"/>
      <c r="D30" s="459"/>
      <c r="E30" s="459"/>
      <c r="F30" s="459"/>
      <c r="G30" s="459"/>
      <c r="H30" s="459"/>
      <c r="I30" s="459"/>
      <c r="J30" s="459"/>
      <c r="K30" s="459"/>
      <c r="L30" s="462"/>
      <c r="M30" s="464"/>
      <c r="N30" s="466"/>
      <c r="Q30" s="341"/>
      <c r="R30" s="459"/>
      <c r="S30" s="459"/>
      <c r="T30" s="459"/>
      <c r="U30" s="459"/>
      <c r="V30" s="459"/>
      <c r="W30" s="459"/>
      <c r="X30" s="459"/>
      <c r="Y30" s="459"/>
      <c r="Z30" s="459"/>
      <c r="AA30" s="462"/>
      <c r="AB30" s="464"/>
      <c r="AC30" s="466"/>
    </row>
    <row r="31" spans="1:29">
      <c r="A31" s="32"/>
      <c r="B31" s="87" t="s">
        <v>314</v>
      </c>
      <c r="C31" s="213">
        <f>'11.Riep. dim. travi e pil.'!$C$10</f>
        <v>80</v>
      </c>
      <c r="D31" s="214">
        <f>'11.Riep. dim. travi e pil.'!$B$10</f>
        <v>30</v>
      </c>
      <c r="E31" s="215">
        <f>C31*D31^3/12</f>
        <v>180000</v>
      </c>
      <c r="F31" s="216">
        <v>3.8</v>
      </c>
      <c r="G31" s="217">
        <f>$C$1*E31/F31/100</f>
        <v>14921052.631578948</v>
      </c>
      <c r="H31" s="218"/>
      <c r="I31" s="218"/>
      <c r="J31" s="219">
        <f>12*G31/F31^2/1000000</f>
        <v>12.399766729844</v>
      </c>
      <c r="K31" s="220">
        <f>G31/(H32+H33)*2</f>
        <v>0.44912280701754387</v>
      </c>
      <c r="L31" s="221">
        <f>1/(1+0.5*(K31+K34+2/3*K31*K34)/(1+(K31+K34)/6))</f>
        <v>0.8271827182718271</v>
      </c>
      <c r="M31" s="236">
        <f>J31*L31</f>
        <v>10.256872749528924</v>
      </c>
      <c r="N31" s="237">
        <v>16</v>
      </c>
      <c r="Q31" s="87" t="s">
        <v>314</v>
      </c>
      <c r="R31" s="213">
        <f>'11.Riep. dim. travi e pil.'!$C$10</f>
        <v>80</v>
      </c>
      <c r="S31" s="214">
        <f>'11.Riep. dim. travi e pil.'!$B$10</f>
        <v>30</v>
      </c>
      <c r="T31" s="215">
        <f>R31*S31^3/12</f>
        <v>180000</v>
      </c>
      <c r="U31" s="216">
        <v>3.8</v>
      </c>
      <c r="V31" s="217">
        <f>$C$1*T31/U31/100</f>
        <v>14921052.631578948</v>
      </c>
      <c r="W31" s="218"/>
      <c r="X31" s="218"/>
      <c r="Y31" s="219">
        <f>12*V31/U31^2/1000000</f>
        <v>12.399766729844</v>
      </c>
      <c r="Z31" s="249">
        <f>V31/(W32+W33)*2</f>
        <v>2.4696574058143663</v>
      </c>
      <c r="AA31" s="221">
        <f>1/(1+0.5*(Z31+Z34+2/3*Z31*Z34)/(1+(Z31+Z34)/6))</f>
        <v>0.53339977106140446</v>
      </c>
      <c r="AB31" s="236">
        <f>Y31*AA31</f>
        <v>6.614032734913609</v>
      </c>
      <c r="AC31" s="237">
        <v>2</v>
      </c>
    </row>
    <row r="32" spans="1:29">
      <c r="A32" s="32"/>
      <c r="B32" s="234" t="s">
        <v>332</v>
      </c>
      <c r="C32" s="222">
        <f>'11.Riep. dim. travi e pil.'!$B$20</f>
        <v>30</v>
      </c>
      <c r="D32" s="202">
        <f>'11.Riep. dim. travi e pil.'!$C$20</f>
        <v>75</v>
      </c>
      <c r="E32" s="232">
        <f>C32*D32^3/12</f>
        <v>1054687.5</v>
      </c>
      <c r="F32" s="203">
        <v>5</v>
      </c>
      <c r="G32" s="31"/>
      <c r="H32" s="223">
        <f>$C$1*E32/F32/100</f>
        <v>66445312.5</v>
      </c>
      <c r="I32" s="31"/>
      <c r="J32" s="31"/>
      <c r="K32" s="329" t="s">
        <v>364</v>
      </c>
      <c r="L32" s="31"/>
      <c r="M32" s="31"/>
      <c r="N32" s="32"/>
      <c r="Q32" s="234" t="s">
        <v>332</v>
      </c>
      <c r="R32" s="222">
        <f>'11.Riep. dim. travi e pil.'!$D$20</f>
        <v>50</v>
      </c>
      <c r="S32" s="202">
        <f>'11.Riep. dim. travi e pil.'!$E$20</f>
        <v>26</v>
      </c>
      <c r="T32" s="232">
        <f>R32*S32^3/12</f>
        <v>73233.333333333328</v>
      </c>
      <c r="U32" s="203">
        <v>4.2</v>
      </c>
      <c r="V32" s="31"/>
      <c r="W32" s="223">
        <f>$C$1*T32/U32/100</f>
        <v>5492500</v>
      </c>
      <c r="X32" s="31"/>
      <c r="Y32" s="31"/>
      <c r="Z32" s="329" t="s">
        <v>364</v>
      </c>
      <c r="AA32" s="31"/>
      <c r="AB32" s="31"/>
      <c r="AC32" s="32"/>
    </row>
    <row r="33" spans="1:29">
      <c r="A33" s="183"/>
      <c r="B33" s="234" t="s">
        <v>333</v>
      </c>
      <c r="C33" s="222">
        <v>0</v>
      </c>
      <c r="D33" s="202">
        <f>IF(C33=0,0,'11.Riep. dim. travi e pil.'!$C$20)</f>
        <v>0</v>
      </c>
      <c r="E33" s="232">
        <f t="shared" ref="E33:E35" si="7">C33*D33^3/12</f>
        <v>0</v>
      </c>
      <c r="F33" s="207">
        <v>0</v>
      </c>
      <c r="G33" s="31"/>
      <c r="H33" s="223">
        <f>IF(C33=0,0,$C$1*E33/F33/100)</f>
        <v>0</v>
      </c>
      <c r="I33" s="31"/>
      <c r="J33" s="31"/>
      <c r="K33" s="329"/>
      <c r="L33" s="31"/>
      <c r="M33" s="31"/>
      <c r="N33" s="32"/>
      <c r="Q33" s="234" t="s">
        <v>333</v>
      </c>
      <c r="R33" s="222">
        <v>60</v>
      </c>
      <c r="S33" s="202">
        <f>IF(R33=0,0,'11.Riep. dim. travi e pil.'!$E$20)</f>
        <v>26</v>
      </c>
      <c r="T33" s="232">
        <f t="shared" ref="T33:T35" si="8">R33*S33^3/12</f>
        <v>87880</v>
      </c>
      <c r="U33" s="207">
        <v>4.2</v>
      </c>
      <c r="V33" s="31"/>
      <c r="W33" s="223">
        <f>IF(R33=0,0,$C$1*T33/U33/100)</f>
        <v>6591000</v>
      </c>
      <c r="X33" s="31"/>
      <c r="Y33" s="31"/>
      <c r="Z33" s="329"/>
      <c r="AA33" s="31"/>
      <c r="AB33" s="31"/>
      <c r="AC33" s="32"/>
    </row>
    <row r="34" spans="1:29">
      <c r="A34" s="32"/>
      <c r="B34" s="235" t="s">
        <v>371</v>
      </c>
      <c r="C34" s="224">
        <v>0</v>
      </c>
      <c r="D34" s="208">
        <v>0</v>
      </c>
      <c r="E34" s="209">
        <f t="shared" si="7"/>
        <v>0</v>
      </c>
      <c r="F34" s="472" t="s">
        <v>322</v>
      </c>
      <c r="G34" s="472"/>
      <c r="H34" s="472"/>
      <c r="I34" s="225">
        <f>IF(C34=0,10^99,$C$1*E34/F32/100)</f>
        <v>9.9999999999999997E+98</v>
      </c>
      <c r="J34" s="31"/>
      <c r="K34" s="226">
        <f>G31/(I34+I35)*2</f>
        <v>1.4921052631578948E-92</v>
      </c>
      <c r="L34" s="31"/>
      <c r="M34" s="31"/>
      <c r="N34" s="32"/>
      <c r="Q34" s="235" t="s">
        <v>371</v>
      </c>
      <c r="R34" s="224">
        <v>0</v>
      </c>
      <c r="S34" s="208">
        <v>0</v>
      </c>
      <c r="T34" s="209">
        <f t="shared" si="8"/>
        <v>0</v>
      </c>
      <c r="U34" s="472" t="s">
        <v>322</v>
      </c>
      <c r="V34" s="472"/>
      <c r="W34" s="472"/>
      <c r="X34" s="225">
        <f>IF(R34=0,10^99,$C$1*T34/U32/100)</f>
        <v>9.9999999999999997E+98</v>
      </c>
      <c r="Y34" s="31"/>
      <c r="Z34" s="226">
        <f>V31/(X34+X35)*2</f>
        <v>1.4921052631578948E-92</v>
      </c>
      <c r="AA34" s="31"/>
      <c r="AB34" s="31"/>
      <c r="AC34" s="32"/>
    </row>
    <row r="35" spans="1:29" ht="15.75" thickBot="1">
      <c r="A35" s="32"/>
      <c r="B35" s="235" t="s">
        <v>372</v>
      </c>
      <c r="C35" s="227">
        <v>0</v>
      </c>
      <c r="D35" s="228">
        <v>0</v>
      </c>
      <c r="E35" s="229">
        <f t="shared" si="7"/>
        <v>0</v>
      </c>
      <c r="F35" s="473"/>
      <c r="G35" s="473"/>
      <c r="H35" s="473"/>
      <c r="I35" s="230">
        <f>IF(C35=0,10^99,$C$1*E35/F33/100)</f>
        <v>9.9999999999999997E+98</v>
      </c>
      <c r="J35" s="42"/>
      <c r="K35" s="42"/>
      <c r="L35" s="42"/>
      <c r="M35" s="42"/>
      <c r="N35" s="44"/>
      <c r="Q35" s="235" t="s">
        <v>372</v>
      </c>
      <c r="R35" s="227">
        <v>0</v>
      </c>
      <c r="S35" s="228">
        <v>0</v>
      </c>
      <c r="T35" s="229">
        <f t="shared" si="8"/>
        <v>0</v>
      </c>
      <c r="U35" s="473"/>
      <c r="V35" s="473"/>
      <c r="W35" s="473"/>
      <c r="X35" s="230">
        <f>IF(R35=0,10^99,$C$1*T35/U33/100)</f>
        <v>9.9999999999999997E+98</v>
      </c>
      <c r="Y35" s="42"/>
      <c r="Z35" s="42"/>
      <c r="AA35" s="42"/>
      <c r="AB35" s="42"/>
      <c r="AC35" s="44"/>
    </row>
    <row r="36" spans="1:29" ht="23.25" customHeight="1" thickBot="1">
      <c r="A36" s="32"/>
      <c r="B36" s="455" t="s">
        <v>133</v>
      </c>
      <c r="C36" s="456"/>
      <c r="D36" s="456"/>
      <c r="E36" s="456"/>
      <c r="F36" s="456"/>
      <c r="M36" s="248">
        <f>M7*N7+M15*N15+M23*N23+M31*N31</f>
        <v>853.84922054202036</v>
      </c>
      <c r="N36" s="181" t="s">
        <v>326</v>
      </c>
      <c r="Q36" s="467" t="s">
        <v>382</v>
      </c>
      <c r="R36" s="468"/>
      <c r="S36" s="468"/>
      <c r="T36" s="468"/>
      <c r="U36" s="468"/>
    </row>
    <row r="37" spans="1:29" ht="21" customHeight="1">
      <c r="A37" s="183"/>
      <c r="B37" s="457" t="s">
        <v>328</v>
      </c>
      <c r="C37" s="458"/>
      <c r="D37" s="458"/>
      <c r="E37" s="458"/>
      <c r="F37" s="458"/>
      <c r="G37" s="458"/>
      <c r="H37" s="42"/>
      <c r="I37" s="42"/>
      <c r="J37" s="42"/>
      <c r="K37" s="42"/>
      <c r="L37" s="42"/>
      <c r="M37" s="42"/>
      <c r="N37" s="182">
        <f>M36/M7</f>
        <v>13.938868511226536</v>
      </c>
      <c r="Q37" s="341"/>
      <c r="R37" s="469" t="s">
        <v>319</v>
      </c>
      <c r="S37" s="469" t="s">
        <v>323</v>
      </c>
      <c r="T37" s="429" t="s">
        <v>324</v>
      </c>
      <c r="U37" s="469" t="s">
        <v>325</v>
      </c>
      <c r="V37" s="429" t="s">
        <v>365</v>
      </c>
      <c r="W37" s="429" t="s">
        <v>366</v>
      </c>
      <c r="X37" s="429" t="s">
        <v>367</v>
      </c>
      <c r="Y37" s="460" t="s">
        <v>368</v>
      </c>
      <c r="Z37" s="429" t="s">
        <v>363</v>
      </c>
      <c r="AA37" s="461" t="s">
        <v>369</v>
      </c>
      <c r="AB37" s="463" t="s">
        <v>370</v>
      </c>
      <c r="AC37" s="465" t="s">
        <v>320</v>
      </c>
    </row>
    <row r="38" spans="1:29">
      <c r="A38" s="31"/>
      <c r="Q38" s="341"/>
      <c r="R38" s="459"/>
      <c r="S38" s="459"/>
      <c r="T38" s="459"/>
      <c r="U38" s="459"/>
      <c r="V38" s="459"/>
      <c r="W38" s="459"/>
      <c r="X38" s="459"/>
      <c r="Y38" s="459"/>
      <c r="Z38" s="459"/>
      <c r="AA38" s="462"/>
      <c r="AB38" s="464"/>
      <c r="AC38" s="466"/>
    </row>
    <row r="39" spans="1:29" ht="15.75" customHeight="1">
      <c r="A39" s="31"/>
      <c r="Q39" s="87" t="s">
        <v>314</v>
      </c>
      <c r="R39" s="213">
        <f>'11.Riep. dim. travi e pil.'!$C$10</f>
        <v>80</v>
      </c>
      <c r="S39" s="214">
        <f>'11.Riep. dim. travi e pil.'!$B$10</f>
        <v>30</v>
      </c>
      <c r="T39" s="215">
        <f>R39*S39^3/12</f>
        <v>180000</v>
      </c>
      <c r="U39" s="216">
        <v>3.8</v>
      </c>
      <c r="V39" s="217">
        <f>$C$1*T39/U39/100</f>
        <v>14921052.631578948</v>
      </c>
      <c r="W39" s="218"/>
      <c r="X39" s="218"/>
      <c r="Y39" s="219">
        <f>12*V39/U39^2/1000000</f>
        <v>12.399766729844</v>
      </c>
      <c r="Z39" s="220">
        <f>V39/(W40+W41)*2</f>
        <v>0.35031578947368425</v>
      </c>
      <c r="AA39" s="221">
        <f>1/(1+0.5*(Z39+Z42+2/3*Z39*Z42)/(1+(Z39+Z42)/6))</f>
        <v>0.85800432358630108</v>
      </c>
      <c r="AB39" s="236">
        <f>Y39*AA39</f>
        <v>10.639053465667722</v>
      </c>
      <c r="AC39" s="237">
        <v>6</v>
      </c>
    </row>
    <row r="40" spans="1:29">
      <c r="A40" s="257"/>
      <c r="Q40" s="234" t="s">
        <v>332</v>
      </c>
      <c r="R40" s="222">
        <f>'11.Riep. dim. travi e pil.'!$B$20</f>
        <v>30</v>
      </c>
      <c r="S40" s="202">
        <f>'11.Riep. dim. travi e pil.'!$C$20</f>
        <v>75</v>
      </c>
      <c r="T40" s="232">
        <f>R40*S40^3/12</f>
        <v>1054687.5</v>
      </c>
      <c r="U40" s="203">
        <v>3.9</v>
      </c>
      <c r="V40" s="31"/>
      <c r="W40" s="223">
        <f>$C$1*T40/U40/100</f>
        <v>85186298.076923072</v>
      </c>
      <c r="X40" s="31"/>
      <c r="Y40" s="31"/>
      <c r="Z40" s="329" t="s">
        <v>364</v>
      </c>
      <c r="AA40" s="31"/>
      <c r="AB40" s="31"/>
      <c r="AC40" s="32"/>
    </row>
    <row r="41" spans="1:29">
      <c r="A41" s="258"/>
      <c r="Q41" s="234" t="s">
        <v>333</v>
      </c>
      <c r="R41" s="222">
        <v>0</v>
      </c>
      <c r="S41" s="202">
        <f>IF(R41=0,0,'11.Riep. dim. travi e pil.'!$C$20)</f>
        <v>0</v>
      </c>
      <c r="T41" s="232">
        <f>R41*S41^3/12</f>
        <v>0</v>
      </c>
      <c r="U41" s="207">
        <v>0</v>
      </c>
      <c r="V41" s="31"/>
      <c r="W41" s="223">
        <f>IF(R41=0,0,$C$1*T41/U41/100)</f>
        <v>0</v>
      </c>
      <c r="X41" s="31"/>
      <c r="Y41" s="31"/>
      <c r="Z41" s="329"/>
      <c r="AA41" s="31"/>
      <c r="AB41" s="31"/>
      <c r="AC41" s="32"/>
    </row>
    <row r="42" spans="1:29">
      <c r="Q42" s="235" t="s">
        <v>371</v>
      </c>
      <c r="R42" s="224">
        <v>0</v>
      </c>
      <c r="S42" s="208">
        <v>0</v>
      </c>
      <c r="T42" s="209">
        <f>R42*S42^3/12</f>
        <v>0</v>
      </c>
      <c r="U42" s="472" t="s">
        <v>322</v>
      </c>
      <c r="V42" s="472"/>
      <c r="W42" s="472"/>
      <c r="X42" s="225">
        <f>IF(R42=0,10^99,$C$1*T42/U40/100)</f>
        <v>9.9999999999999997E+98</v>
      </c>
      <c r="Y42" s="31"/>
      <c r="Z42" s="226">
        <f>V39/(X42+X43)*2</f>
        <v>1.4921052631578948E-92</v>
      </c>
      <c r="AA42" s="31"/>
      <c r="AB42" s="31"/>
      <c r="AC42" s="32"/>
    </row>
    <row r="43" spans="1:29" ht="15.75" thickBot="1">
      <c r="Q43" s="235" t="s">
        <v>372</v>
      </c>
      <c r="R43" s="227">
        <v>0</v>
      </c>
      <c r="S43" s="228">
        <v>0</v>
      </c>
      <c r="T43" s="229">
        <f>R43*S43^3/12</f>
        <v>0</v>
      </c>
      <c r="U43" s="473"/>
      <c r="V43" s="473"/>
      <c r="W43" s="473"/>
      <c r="X43" s="230">
        <f>IF(R43=0,10^99,$C$1*T43/U41/100)</f>
        <v>9.9999999999999997E+98</v>
      </c>
      <c r="Y43" s="42"/>
      <c r="Z43" s="42"/>
      <c r="AA43" s="42"/>
      <c r="AB43" s="42"/>
      <c r="AC43" s="44"/>
    </row>
    <row r="44" spans="1:29" ht="19.5" thickBot="1">
      <c r="Q44" s="455" t="s">
        <v>133</v>
      </c>
      <c r="R44" s="456"/>
      <c r="S44" s="456"/>
      <c r="T44" s="456"/>
      <c r="U44" s="456"/>
      <c r="AB44" s="248">
        <f>AB7*AC7+AB15*AC15+AB23*AC23+AB39*AC39+AB31*AC31</f>
        <v>929.93417658593796</v>
      </c>
      <c r="AC44" s="181" t="s">
        <v>326</v>
      </c>
    </row>
    <row r="45" spans="1:29" ht="15.75">
      <c r="A45" s="259"/>
      <c r="Q45" s="457" t="s">
        <v>328</v>
      </c>
      <c r="R45" s="458"/>
      <c r="S45" s="458"/>
      <c r="T45" s="458"/>
      <c r="U45" s="458"/>
      <c r="V45" s="458"/>
      <c r="W45" s="42"/>
      <c r="X45" s="42"/>
      <c r="Y45" s="42"/>
      <c r="Z45" s="42"/>
      <c r="AA45" s="42"/>
      <c r="AB45" s="42"/>
      <c r="AC45" s="182">
        <f>AB44/AB15</f>
        <v>16.234269227032705</v>
      </c>
    </row>
    <row r="46" spans="1:29">
      <c r="A46" s="31"/>
    </row>
    <row r="47" spans="1:29" ht="15" customHeight="1">
      <c r="A47" s="245"/>
    </row>
    <row r="48" spans="1:29">
      <c r="A48" s="245"/>
      <c r="B48" s="180" t="s">
        <v>327</v>
      </c>
      <c r="C48" s="233" t="s">
        <v>331</v>
      </c>
    </row>
    <row r="49" spans="1:29">
      <c r="A49" s="242"/>
      <c r="B49" s="474" t="s">
        <v>321</v>
      </c>
      <c r="C49" s="475"/>
      <c r="D49" s="475"/>
      <c r="E49" s="475"/>
      <c r="F49" s="475"/>
      <c r="G49" s="475"/>
      <c r="H49" s="475"/>
      <c r="I49" s="475"/>
      <c r="J49" s="475"/>
      <c r="K49" s="475"/>
      <c r="L49" s="475"/>
      <c r="M49" s="476"/>
      <c r="Q49" s="474" t="s">
        <v>329</v>
      </c>
      <c r="R49" s="475"/>
      <c r="S49" s="475"/>
      <c r="T49" s="475"/>
      <c r="U49" s="475"/>
      <c r="V49" s="475"/>
      <c r="W49" s="475"/>
      <c r="X49" s="475"/>
      <c r="Y49" s="475"/>
      <c r="Z49" s="475"/>
      <c r="AA49" s="475"/>
      <c r="AB49" s="476"/>
    </row>
    <row r="50" spans="1:29">
      <c r="A50" s="32"/>
      <c r="B50" s="470" t="s">
        <v>317</v>
      </c>
      <c r="C50" s="471"/>
      <c r="D50" s="471"/>
      <c r="E50" s="471"/>
      <c r="F50" s="471"/>
      <c r="G50" s="88"/>
      <c r="H50" s="231"/>
      <c r="I50" s="88"/>
      <c r="J50" s="88"/>
      <c r="K50" s="88"/>
      <c r="L50" s="88"/>
      <c r="M50" s="231"/>
      <c r="Q50" s="470" t="s">
        <v>383</v>
      </c>
      <c r="R50" s="471"/>
      <c r="S50" s="471"/>
      <c r="T50" s="471"/>
      <c r="U50" s="471"/>
      <c r="V50" s="88"/>
      <c r="W50" s="231"/>
      <c r="X50" s="88"/>
      <c r="Y50" s="88"/>
      <c r="Z50" s="88"/>
      <c r="AA50" s="88"/>
      <c r="AB50" s="231"/>
    </row>
    <row r="51" spans="1:29">
      <c r="A51" s="32"/>
      <c r="B51" s="341"/>
      <c r="C51" s="469" t="s">
        <v>319</v>
      </c>
      <c r="D51" s="469" t="s">
        <v>323</v>
      </c>
      <c r="E51" s="429" t="s">
        <v>324</v>
      </c>
      <c r="F51" s="469" t="s">
        <v>325</v>
      </c>
      <c r="G51" s="429" t="s">
        <v>365</v>
      </c>
      <c r="H51" s="429" t="s">
        <v>366</v>
      </c>
      <c r="I51" s="429" t="s">
        <v>367</v>
      </c>
      <c r="J51" s="460" t="s">
        <v>368</v>
      </c>
      <c r="K51" s="429" t="s">
        <v>363</v>
      </c>
      <c r="L51" s="461" t="s">
        <v>369</v>
      </c>
      <c r="M51" s="463" t="s">
        <v>370</v>
      </c>
      <c r="N51" s="465" t="s">
        <v>320</v>
      </c>
      <c r="Q51" s="341"/>
      <c r="R51" s="469" t="s">
        <v>319</v>
      </c>
      <c r="S51" s="469" t="s">
        <v>323</v>
      </c>
      <c r="T51" s="429" t="s">
        <v>324</v>
      </c>
      <c r="U51" s="469" t="s">
        <v>325</v>
      </c>
      <c r="V51" s="429" t="s">
        <v>365</v>
      </c>
      <c r="W51" s="429" t="s">
        <v>366</v>
      </c>
      <c r="X51" s="429" t="s">
        <v>367</v>
      </c>
      <c r="Y51" s="460" t="s">
        <v>368</v>
      </c>
      <c r="Z51" s="429" t="s">
        <v>363</v>
      </c>
      <c r="AA51" s="461" t="s">
        <v>369</v>
      </c>
      <c r="AB51" s="463" t="s">
        <v>370</v>
      </c>
      <c r="AC51" s="465" t="s">
        <v>320</v>
      </c>
    </row>
    <row r="52" spans="1:29">
      <c r="A52" s="32"/>
      <c r="B52" s="341"/>
      <c r="C52" s="429"/>
      <c r="D52" s="429"/>
      <c r="E52" s="429"/>
      <c r="F52" s="429"/>
      <c r="G52" s="429"/>
      <c r="H52" s="429"/>
      <c r="I52" s="429"/>
      <c r="J52" s="429"/>
      <c r="K52" s="429"/>
      <c r="L52" s="461"/>
      <c r="M52" s="464"/>
      <c r="N52" s="466"/>
      <c r="Q52" s="341"/>
      <c r="R52" s="429"/>
      <c r="S52" s="429"/>
      <c r="T52" s="429"/>
      <c r="U52" s="429"/>
      <c r="V52" s="429"/>
      <c r="W52" s="429"/>
      <c r="X52" s="429"/>
      <c r="Y52" s="429"/>
      <c r="Z52" s="429"/>
      <c r="AA52" s="461"/>
      <c r="AB52" s="464"/>
      <c r="AC52" s="466"/>
    </row>
    <row r="53" spans="1:29">
      <c r="A53" s="32"/>
      <c r="B53" s="57" t="s">
        <v>314</v>
      </c>
      <c r="C53" s="213">
        <f>'11.Riep. dim. travi e pil.'!$B$9</f>
        <v>30</v>
      </c>
      <c r="D53" s="214">
        <f>'11.Riep. dim. travi e pil.'!$C$9</f>
        <v>80</v>
      </c>
      <c r="E53" s="215">
        <f>C53*D53^3/12</f>
        <v>1280000</v>
      </c>
      <c r="F53" s="216">
        <v>3.2</v>
      </c>
      <c r="G53" s="217">
        <f>$C$1*E53/F53/100</f>
        <v>126000000</v>
      </c>
      <c r="H53" s="218"/>
      <c r="I53" s="218"/>
      <c r="J53" s="219">
        <f>12*G53/F53^2/1000000</f>
        <v>147.65624999999997</v>
      </c>
      <c r="K53" s="220">
        <f>G53/(H54+H55)*2</f>
        <v>1.22282379349046</v>
      </c>
      <c r="L53" s="221">
        <f>1/(1+0.5*(K53+K56+2/3*K53*K56)/(1+(K53+K56)/6))</f>
        <v>0.4498782147863003</v>
      </c>
      <c r="M53" s="236">
        <f>J53*L53</f>
        <v>66.427330152039644</v>
      </c>
      <c r="N53" s="237">
        <v>4</v>
      </c>
      <c r="Q53" s="57" t="s">
        <v>314</v>
      </c>
      <c r="R53" s="213">
        <f>'11.Riep. dim. travi e pil.'!$B$9</f>
        <v>30</v>
      </c>
      <c r="S53" s="214">
        <f>'11.Riep. dim. travi e pil.'!$C$10</f>
        <v>80</v>
      </c>
      <c r="T53" s="215">
        <f>R53*S53^3/12</f>
        <v>1280000</v>
      </c>
      <c r="U53" s="216">
        <v>3.2</v>
      </c>
      <c r="V53" s="217">
        <f>$C$1*T53/U53/100</f>
        <v>126000000</v>
      </c>
      <c r="W53" s="218"/>
      <c r="X53" s="218"/>
      <c r="Y53" s="219">
        <f>12*V53/U53^2/1000000</f>
        <v>147.65624999999997</v>
      </c>
      <c r="Z53" s="220">
        <f>V53/(W54+W55)*2</f>
        <v>2.7685925925925923</v>
      </c>
      <c r="AA53" s="221">
        <f>1/(1+0.5*(Z53+Z56+2/3*Z53*Z56)/(1+(Z53+Z56)/6))</f>
        <v>0.26535104961081846</v>
      </c>
      <c r="AB53" s="236">
        <f>Y53*AA53</f>
        <v>39.180740919097403</v>
      </c>
      <c r="AC53" s="237">
        <v>10</v>
      </c>
    </row>
    <row r="54" spans="1:29">
      <c r="A54" s="242"/>
      <c r="B54" s="211" t="s">
        <v>332</v>
      </c>
      <c r="C54" s="222">
        <f>'11.Riep. dim. travi e pil.'!$B$19</f>
        <v>30</v>
      </c>
      <c r="D54" s="250">
        <f>'11.Riep. dim. travi e pil.'!$C$19</f>
        <v>75</v>
      </c>
      <c r="E54" s="232">
        <f>C54*D54^3/12</f>
        <v>1054687.5</v>
      </c>
      <c r="F54" s="203">
        <v>3.8</v>
      </c>
      <c r="G54" s="31"/>
      <c r="H54" s="223">
        <f>$C$1*E54/F54/100</f>
        <v>87428042.763157904</v>
      </c>
      <c r="I54" s="31"/>
      <c r="J54" s="31"/>
      <c r="K54" s="329" t="s">
        <v>364</v>
      </c>
      <c r="L54" s="31"/>
      <c r="M54" s="31"/>
      <c r="N54" s="32"/>
      <c r="Q54" s="211" t="s">
        <v>332</v>
      </c>
      <c r="R54" s="222">
        <f>'11.Riep. dim. travi e pil.'!$B$19</f>
        <v>30</v>
      </c>
      <c r="S54" s="250">
        <f>'11.Riep. dim. travi e pil.'!$C$19</f>
        <v>75</v>
      </c>
      <c r="T54" s="232">
        <f>R54*S54^3/12</f>
        <v>1054687.5</v>
      </c>
      <c r="U54" s="203">
        <v>3.65</v>
      </c>
      <c r="V54" s="31"/>
      <c r="W54" s="223">
        <f>$C$1*T54/U54/100</f>
        <v>91020976.027397275</v>
      </c>
      <c r="X54" s="31"/>
      <c r="Y54" s="31"/>
      <c r="Z54" s="329" t="s">
        <v>364</v>
      </c>
      <c r="AA54" s="31"/>
      <c r="AB54" s="31"/>
      <c r="AC54" s="32"/>
    </row>
    <row r="55" spans="1:29">
      <c r="A55" s="32"/>
      <c r="B55" s="211" t="s">
        <v>333</v>
      </c>
      <c r="C55" s="222">
        <v>30</v>
      </c>
      <c r="D55" s="202">
        <f>IF(C55=0,0,'11.Riep. dim. travi e pil.'!$C$19)</f>
        <v>75</v>
      </c>
      <c r="E55" s="232">
        <f t="shared" ref="E55:E57" si="9">C55*D55^3/12</f>
        <v>1054687.5</v>
      </c>
      <c r="F55" s="207">
        <v>2.8</v>
      </c>
      <c r="G55" s="31"/>
      <c r="H55" s="223">
        <f>$C$1*E55/F55/100</f>
        <v>118652343.75</v>
      </c>
      <c r="I55" s="31"/>
      <c r="J55" s="31"/>
      <c r="K55" s="329"/>
      <c r="L55" s="31"/>
      <c r="M55" s="31"/>
      <c r="N55" s="32"/>
      <c r="Q55" s="211" t="s">
        <v>333</v>
      </c>
      <c r="R55" s="222">
        <v>0</v>
      </c>
      <c r="S55" s="202">
        <f>IF(R55=0,0,'11.Riep. dim. travi e pil.'!$C$19)</f>
        <v>0</v>
      </c>
      <c r="T55" s="241">
        <f t="shared" ref="T55:T57" si="10">R55*S55^3/12</f>
        <v>0</v>
      </c>
      <c r="U55" s="207">
        <v>0</v>
      </c>
      <c r="V55" s="31"/>
      <c r="W55" s="223">
        <f>IF(R55=0,0,$C$1*T55/U55/100)</f>
        <v>0</v>
      </c>
      <c r="X55" s="31"/>
      <c r="Y55" s="31"/>
      <c r="Z55" s="329"/>
      <c r="AA55" s="31"/>
      <c r="AB55" s="31"/>
      <c r="AC55" s="32"/>
    </row>
    <row r="56" spans="1:29">
      <c r="A56" s="32"/>
      <c r="B56" s="212" t="s">
        <v>371</v>
      </c>
      <c r="C56" s="222">
        <f>C54</f>
        <v>30</v>
      </c>
      <c r="D56" s="202">
        <f>IF(C56=0,0,'11.Riep. dim. travi e pil.'!$C$20)</f>
        <v>75</v>
      </c>
      <c r="E56" s="232">
        <f t="shared" si="9"/>
        <v>1054687.5</v>
      </c>
      <c r="F56" s="207"/>
      <c r="G56" s="31"/>
      <c r="H56" s="31"/>
      <c r="I56" s="225">
        <f>IF(C56=0,10^99,$C$1*E56/F54/100)</f>
        <v>87428042.763157904</v>
      </c>
      <c r="J56" s="31"/>
      <c r="K56" s="226">
        <f>G53/(I56+I57)*2</f>
        <v>1.22282379349046</v>
      </c>
      <c r="L56" s="31"/>
      <c r="M56" s="31"/>
      <c r="N56" s="32"/>
      <c r="Q56" s="212" t="s">
        <v>371</v>
      </c>
      <c r="R56" s="222">
        <f>R54</f>
        <v>30</v>
      </c>
      <c r="S56" s="202">
        <f>IF(R56=0,0,'11.Riep. dim. travi e pil.'!$C$20)</f>
        <v>75</v>
      </c>
      <c r="T56" s="241">
        <f t="shared" si="10"/>
        <v>1054687.5</v>
      </c>
      <c r="U56" s="207"/>
      <c r="V56" s="31"/>
      <c r="W56" s="31"/>
      <c r="X56" s="225">
        <f>IF(R56=0,10^99,$C$1*T56/U54/100)</f>
        <v>91020976.027397275</v>
      </c>
      <c r="Y56" s="31"/>
      <c r="Z56" s="226">
        <f>V53/(X56+X57)*2</f>
        <v>2.7685925925925923</v>
      </c>
      <c r="AA56" s="31"/>
      <c r="AB56" s="31"/>
      <c r="AC56" s="32"/>
    </row>
    <row r="57" spans="1:29" ht="15" customHeight="1">
      <c r="A57" s="32"/>
      <c r="B57" s="212" t="s">
        <v>372</v>
      </c>
      <c r="C57" s="222">
        <f>C55</f>
        <v>30</v>
      </c>
      <c r="D57" s="202">
        <f>IF(C57=0,0,'11.Riep. dim. travi e pil.'!$C$20)</f>
        <v>75</v>
      </c>
      <c r="E57" s="232">
        <f t="shared" si="9"/>
        <v>1054687.5</v>
      </c>
      <c r="F57" s="207"/>
      <c r="G57" s="31"/>
      <c r="H57" s="31"/>
      <c r="I57" s="230">
        <f>IF(C57=0,0,$C$1*E57/F55/100)</f>
        <v>118652343.75</v>
      </c>
      <c r="J57" s="42"/>
      <c r="K57" s="42"/>
      <c r="L57" s="42"/>
      <c r="M57" s="42"/>
      <c r="N57" s="44"/>
      <c r="Q57" s="212" t="s">
        <v>372</v>
      </c>
      <c r="R57" s="222">
        <f>R55</f>
        <v>0</v>
      </c>
      <c r="S57" s="202">
        <f>IF(R57=0,0,'11.Riep. dim. travi e pil.'!$C$20)</f>
        <v>0</v>
      </c>
      <c r="T57" s="241">
        <f t="shared" si="10"/>
        <v>0</v>
      </c>
      <c r="U57" s="207"/>
      <c r="V57" s="31"/>
      <c r="W57" s="31"/>
      <c r="X57" s="230">
        <f>IF(R57=0,0,$C$1*T57/U55/100)</f>
        <v>0</v>
      </c>
      <c r="Y57" s="42"/>
      <c r="Z57" s="42"/>
      <c r="AA57" s="42"/>
      <c r="AB57" s="42"/>
      <c r="AC57" s="44"/>
    </row>
    <row r="58" spans="1:29">
      <c r="A58" s="242"/>
      <c r="B58" s="467" t="s">
        <v>373</v>
      </c>
      <c r="C58" s="468"/>
      <c r="D58" s="468"/>
      <c r="E58" s="468"/>
      <c r="F58" s="468"/>
      <c r="N58" s="232"/>
      <c r="O58" s="31"/>
      <c r="Q58" s="467" t="s">
        <v>384</v>
      </c>
      <c r="R58" s="468"/>
      <c r="S58" s="468"/>
      <c r="T58" s="468"/>
      <c r="U58" s="468"/>
      <c r="AC58" s="232"/>
    </row>
    <row r="59" spans="1:29">
      <c r="A59" s="32"/>
      <c r="B59" s="341"/>
      <c r="C59" s="469" t="s">
        <v>319</v>
      </c>
      <c r="D59" s="469" t="s">
        <v>323</v>
      </c>
      <c r="E59" s="429" t="s">
        <v>324</v>
      </c>
      <c r="F59" s="469" t="s">
        <v>325</v>
      </c>
      <c r="G59" s="429" t="s">
        <v>365</v>
      </c>
      <c r="H59" s="429" t="s">
        <v>366</v>
      </c>
      <c r="I59" s="429" t="s">
        <v>367</v>
      </c>
      <c r="J59" s="460" t="s">
        <v>368</v>
      </c>
      <c r="K59" s="429" t="s">
        <v>363</v>
      </c>
      <c r="L59" s="461" t="s">
        <v>369</v>
      </c>
      <c r="M59" s="463" t="s">
        <v>370</v>
      </c>
      <c r="N59" s="465" t="s">
        <v>320</v>
      </c>
      <c r="Q59" s="341"/>
      <c r="R59" s="469" t="s">
        <v>319</v>
      </c>
      <c r="S59" s="469" t="s">
        <v>323</v>
      </c>
      <c r="T59" s="429" t="s">
        <v>324</v>
      </c>
      <c r="U59" s="469" t="s">
        <v>325</v>
      </c>
      <c r="V59" s="429" t="s">
        <v>365</v>
      </c>
      <c r="W59" s="429" t="s">
        <v>366</v>
      </c>
      <c r="X59" s="429" t="s">
        <v>367</v>
      </c>
      <c r="Y59" s="460" t="s">
        <v>368</v>
      </c>
      <c r="Z59" s="429" t="s">
        <v>363</v>
      </c>
      <c r="AA59" s="461" t="s">
        <v>369</v>
      </c>
      <c r="AB59" s="463" t="s">
        <v>370</v>
      </c>
      <c r="AC59" s="465" t="s">
        <v>320</v>
      </c>
    </row>
    <row r="60" spans="1:29">
      <c r="A60" s="32"/>
      <c r="B60" s="341"/>
      <c r="C60" s="459"/>
      <c r="D60" s="459"/>
      <c r="E60" s="459"/>
      <c r="F60" s="459"/>
      <c r="G60" s="459"/>
      <c r="H60" s="459"/>
      <c r="I60" s="459"/>
      <c r="J60" s="459"/>
      <c r="K60" s="459"/>
      <c r="L60" s="462"/>
      <c r="M60" s="464"/>
      <c r="N60" s="466"/>
      <c r="Q60" s="341"/>
      <c r="R60" s="459"/>
      <c r="S60" s="459"/>
      <c r="T60" s="459"/>
      <c r="U60" s="459"/>
      <c r="V60" s="459"/>
      <c r="W60" s="459"/>
      <c r="X60" s="459"/>
      <c r="Y60" s="459"/>
      <c r="Z60" s="459"/>
      <c r="AA60" s="462"/>
      <c r="AB60" s="464"/>
      <c r="AC60" s="466"/>
    </row>
    <row r="61" spans="1:29">
      <c r="A61" s="32"/>
      <c r="B61" s="87" t="s">
        <v>314</v>
      </c>
      <c r="C61" s="213">
        <f>'11.Riep. dim. travi e pil.'!$B$9</f>
        <v>30</v>
      </c>
      <c r="D61" s="214">
        <f>'11.Riep. dim. travi e pil.'!$C$9</f>
        <v>80</v>
      </c>
      <c r="E61" s="215">
        <f>C61*D61^3/12</f>
        <v>1280000</v>
      </c>
      <c r="F61" s="216">
        <v>3.2</v>
      </c>
      <c r="G61" s="217">
        <f>$C$1*E61/F61/100</f>
        <v>126000000</v>
      </c>
      <c r="H61" s="218"/>
      <c r="I61" s="218"/>
      <c r="J61" s="219">
        <f>12*G61/F61^2/1000000</f>
        <v>147.65624999999997</v>
      </c>
      <c r="K61" s="220">
        <f>G61/(H62+H63)*2</f>
        <v>4.0580740740740744</v>
      </c>
      <c r="L61" s="221">
        <f>1/(1+0.5*(K61+K64+2/3*K61*K64)/(1+(K61+K64)/6))</f>
        <v>0.19770370804287973</v>
      </c>
      <c r="M61" s="236">
        <f>J61*L61</f>
        <v>29.192188140706456</v>
      </c>
      <c r="N61" s="237">
        <v>8</v>
      </c>
      <c r="Q61" s="87" t="s">
        <v>314</v>
      </c>
      <c r="R61" s="213">
        <f>'11.Riep. dim. travi e pil.'!$B$9</f>
        <v>30</v>
      </c>
      <c r="S61" s="214">
        <f>'11.Riep. dim. travi e pil.'!$C$9</f>
        <v>80</v>
      </c>
      <c r="T61" s="215">
        <f>R61*S61^3/12</f>
        <v>1280000</v>
      </c>
      <c r="U61" s="216">
        <v>3.2</v>
      </c>
      <c r="V61" s="217">
        <f>$C$1*T61/U61/100</f>
        <v>126000000</v>
      </c>
      <c r="W61" s="218"/>
      <c r="X61" s="218"/>
      <c r="Y61" s="219">
        <f>12*V61/U61^2/1000000</f>
        <v>147.65624999999997</v>
      </c>
      <c r="Z61" s="220">
        <f>V61/(W62+W63)*2</f>
        <v>1.5616557734204792</v>
      </c>
      <c r="AA61" s="221">
        <f>1/(1+0.5*(Z61+Z64+2/3*Z61*Z64)/(1+(Z61+Z64)/6))</f>
        <v>0.39037251233202924</v>
      </c>
      <c r="AB61" s="236">
        <f>Y61*AA61</f>
        <v>57.640941274026183</v>
      </c>
      <c r="AC61" s="237">
        <v>6</v>
      </c>
    </row>
    <row r="62" spans="1:29">
      <c r="A62" s="242"/>
      <c r="B62" s="234" t="s">
        <v>332</v>
      </c>
      <c r="C62" s="222">
        <f>'11.Riep. dim. travi e pil.'!$B$19</f>
        <v>30</v>
      </c>
      <c r="D62" s="250">
        <f>'11.Riep. dim. travi e pil.'!$C$19</f>
        <v>75</v>
      </c>
      <c r="E62" s="232">
        <f>C62*D62^3/12</f>
        <v>1054687.5</v>
      </c>
      <c r="F62" s="203">
        <v>5.35</v>
      </c>
      <c r="G62" s="31"/>
      <c r="H62" s="223">
        <f>$C$1*E62/F62/100</f>
        <v>62098422.897196263</v>
      </c>
      <c r="I62" s="31"/>
      <c r="J62" s="31"/>
      <c r="K62" s="329" t="s">
        <v>364</v>
      </c>
      <c r="L62" s="31"/>
      <c r="M62" s="31"/>
      <c r="N62" s="32"/>
      <c r="Q62" s="234" t="s">
        <v>332</v>
      </c>
      <c r="R62" s="222">
        <f>'11.Riep. dim. travi e pil.'!$B$19</f>
        <v>30</v>
      </c>
      <c r="S62" s="250">
        <f>'11.Riep. dim. travi e pil.'!$C$19</f>
        <v>75</v>
      </c>
      <c r="T62" s="232">
        <f>R62*S62^3/12</f>
        <v>1054687.5</v>
      </c>
      <c r="U62" s="203">
        <v>5</v>
      </c>
      <c r="V62" s="31"/>
      <c r="W62" s="223">
        <f>$C$1*T62/U62/100</f>
        <v>66445312.5</v>
      </c>
      <c r="X62" s="31"/>
      <c r="Y62" s="31"/>
      <c r="Z62" s="329" t="s">
        <v>364</v>
      </c>
      <c r="AA62" s="31"/>
      <c r="AB62" s="31"/>
      <c r="AC62" s="32"/>
    </row>
    <row r="63" spans="1:29">
      <c r="A63" s="32"/>
      <c r="B63" s="234" t="s">
        <v>333</v>
      </c>
      <c r="C63" s="222">
        <v>0</v>
      </c>
      <c r="D63" s="202">
        <f>IF(C63=0,0,'11.Riep. dim. travi e pil.'!$C$19)</f>
        <v>0</v>
      </c>
      <c r="E63" s="232">
        <f t="shared" ref="E63:E65" si="11">C63*D63^3/12</f>
        <v>0</v>
      </c>
      <c r="F63" s="207">
        <v>0</v>
      </c>
      <c r="G63" s="31"/>
      <c r="H63" s="223">
        <f>IF(C63=0,0,$C$1*E63/F63/100)</f>
        <v>0</v>
      </c>
      <c r="I63" s="31"/>
      <c r="J63" s="31"/>
      <c r="K63" s="329"/>
      <c r="L63" s="31"/>
      <c r="M63" s="31"/>
      <c r="N63" s="32"/>
      <c r="Q63" s="234" t="s">
        <v>333</v>
      </c>
      <c r="R63" s="222">
        <v>30</v>
      </c>
      <c r="S63" s="202">
        <f>IF(R63=0,0,'11.Riep. dim. travi e pil.'!$C$19)</f>
        <v>75</v>
      </c>
      <c r="T63" s="241">
        <f t="shared" ref="T63:T65" si="12">R63*S63^3/12</f>
        <v>1054687.5</v>
      </c>
      <c r="U63" s="207">
        <v>3.5</v>
      </c>
      <c r="V63" s="31"/>
      <c r="W63" s="223">
        <f>IF(R63=0,0,$C$1*T63/U63/100)</f>
        <v>94921875</v>
      </c>
      <c r="X63" s="31"/>
      <c r="Y63" s="31"/>
      <c r="Z63" s="329"/>
      <c r="AA63" s="31"/>
      <c r="AB63" s="31"/>
      <c r="AC63" s="32"/>
    </row>
    <row r="64" spans="1:29">
      <c r="A64" s="32"/>
      <c r="B64" s="235" t="s">
        <v>371</v>
      </c>
      <c r="C64" s="222">
        <v>30</v>
      </c>
      <c r="D64" s="202">
        <f>IF(C64=0,0,'11.Riep. dim. travi e pil.'!$C$20)</f>
        <v>75</v>
      </c>
      <c r="E64" s="232">
        <f t="shared" si="11"/>
        <v>1054687.5</v>
      </c>
      <c r="F64" s="207"/>
      <c r="G64" s="31"/>
      <c r="H64" s="31"/>
      <c r="I64" s="225">
        <f>IF(C64=0,10^99,$C$1*E64/F62/100)</f>
        <v>62098422.897196263</v>
      </c>
      <c r="J64" s="31"/>
      <c r="K64" s="226">
        <f>G61/(I64+I65)*2</f>
        <v>4.0580740740740744</v>
      </c>
      <c r="L64" s="31"/>
      <c r="M64" s="31"/>
      <c r="N64" s="32"/>
      <c r="Q64" s="235" t="s">
        <v>371</v>
      </c>
      <c r="R64" s="222">
        <f>R62</f>
        <v>30</v>
      </c>
      <c r="S64" s="202">
        <f>IF(R64=0,0,'11.Riep. dim. travi e pil.'!$C$20)</f>
        <v>75</v>
      </c>
      <c r="T64" s="241">
        <f t="shared" si="12"/>
        <v>1054687.5</v>
      </c>
      <c r="U64" s="207"/>
      <c r="V64" s="31"/>
      <c r="W64" s="31"/>
      <c r="X64" s="225">
        <f>IF(R64=0,10^99,$C$1*T64/U62/100)</f>
        <v>66445312.5</v>
      </c>
      <c r="Y64" s="31"/>
      <c r="Z64" s="226">
        <f>V61/(X64+X65)*2</f>
        <v>1.5616557734204792</v>
      </c>
      <c r="AA64" s="31"/>
      <c r="AB64" s="31"/>
      <c r="AC64" s="32"/>
    </row>
    <row r="65" spans="1:29">
      <c r="A65" s="32"/>
      <c r="B65" s="235" t="s">
        <v>372</v>
      </c>
      <c r="C65" s="222">
        <v>0</v>
      </c>
      <c r="D65" s="202">
        <f>IF(C65=0,0,'11.Riep. dim. travi e pil.'!$C$20)</f>
        <v>0</v>
      </c>
      <c r="E65" s="232">
        <f t="shared" si="11"/>
        <v>0</v>
      </c>
      <c r="F65" s="207"/>
      <c r="G65" s="31"/>
      <c r="H65" s="31"/>
      <c r="I65" s="230">
        <f>IF(C65=0,0,$C$1*E65/F63/100)</f>
        <v>0</v>
      </c>
      <c r="J65" s="42"/>
      <c r="K65" s="42"/>
      <c r="L65" s="42"/>
      <c r="M65" s="42"/>
      <c r="N65" s="44"/>
      <c r="Q65" s="235" t="s">
        <v>372</v>
      </c>
      <c r="R65" s="222">
        <f>R63</f>
        <v>30</v>
      </c>
      <c r="S65" s="202">
        <f>IF(R65=0,0,'11.Riep. dim. travi e pil.'!$C$20)</f>
        <v>75</v>
      </c>
      <c r="T65" s="241">
        <f t="shared" si="12"/>
        <v>1054687.5</v>
      </c>
      <c r="U65" s="207"/>
      <c r="V65" s="31"/>
      <c r="W65" s="31"/>
      <c r="X65" s="230">
        <f>IF(R65=0,0,$C$1*T65/U63/100)</f>
        <v>94921875</v>
      </c>
      <c r="Y65" s="42"/>
      <c r="Z65" s="42"/>
      <c r="AA65" s="42"/>
      <c r="AB65" s="42"/>
      <c r="AC65" s="44"/>
    </row>
    <row r="66" spans="1:29" ht="15" customHeight="1">
      <c r="A66" s="32"/>
      <c r="B66" s="467" t="s">
        <v>318</v>
      </c>
      <c r="C66" s="468"/>
      <c r="D66" s="468"/>
      <c r="E66" s="468"/>
      <c r="F66" s="468"/>
      <c r="Q66" s="467" t="s">
        <v>385</v>
      </c>
      <c r="R66" s="468"/>
      <c r="S66" s="468"/>
      <c r="T66" s="468"/>
      <c r="U66" s="468"/>
    </row>
    <row r="67" spans="1:29">
      <c r="A67" s="242"/>
      <c r="B67" s="341"/>
      <c r="C67" s="469" t="s">
        <v>319</v>
      </c>
      <c r="D67" s="469" t="s">
        <v>323</v>
      </c>
      <c r="E67" s="429" t="s">
        <v>324</v>
      </c>
      <c r="F67" s="469" t="s">
        <v>325</v>
      </c>
      <c r="G67" s="429" t="s">
        <v>365</v>
      </c>
      <c r="H67" s="429" t="s">
        <v>366</v>
      </c>
      <c r="I67" s="429" t="s">
        <v>367</v>
      </c>
      <c r="J67" s="460" t="s">
        <v>368</v>
      </c>
      <c r="K67" s="429" t="s">
        <v>363</v>
      </c>
      <c r="L67" s="461" t="s">
        <v>369</v>
      </c>
      <c r="M67" s="463" t="s">
        <v>370</v>
      </c>
      <c r="N67" s="465" t="s">
        <v>320</v>
      </c>
      <c r="Q67" s="341"/>
      <c r="R67" s="469" t="s">
        <v>319</v>
      </c>
      <c r="S67" s="469" t="s">
        <v>323</v>
      </c>
      <c r="T67" s="429" t="s">
        <v>324</v>
      </c>
      <c r="U67" s="469" t="s">
        <v>325</v>
      </c>
      <c r="V67" s="429" t="s">
        <v>365</v>
      </c>
      <c r="W67" s="429" t="s">
        <v>366</v>
      </c>
      <c r="X67" s="429" t="s">
        <v>367</v>
      </c>
      <c r="Y67" s="460" t="s">
        <v>368</v>
      </c>
      <c r="Z67" s="429" t="s">
        <v>363</v>
      </c>
      <c r="AA67" s="461" t="s">
        <v>369</v>
      </c>
      <c r="AB67" s="463" t="s">
        <v>370</v>
      </c>
      <c r="AC67" s="465" t="s">
        <v>320</v>
      </c>
    </row>
    <row r="68" spans="1:29">
      <c r="A68" s="32"/>
      <c r="B68" s="341"/>
      <c r="C68" s="459"/>
      <c r="D68" s="459"/>
      <c r="E68" s="459"/>
      <c r="F68" s="459"/>
      <c r="G68" s="459"/>
      <c r="H68" s="459"/>
      <c r="I68" s="459"/>
      <c r="J68" s="459"/>
      <c r="K68" s="459"/>
      <c r="L68" s="462"/>
      <c r="M68" s="464"/>
      <c r="N68" s="466"/>
      <c r="Q68" s="341"/>
      <c r="R68" s="459"/>
      <c r="S68" s="459"/>
      <c r="T68" s="459"/>
      <c r="U68" s="459"/>
      <c r="V68" s="459"/>
      <c r="W68" s="459"/>
      <c r="X68" s="459"/>
      <c r="Y68" s="459"/>
      <c r="Z68" s="459"/>
      <c r="AA68" s="462"/>
      <c r="AB68" s="464"/>
      <c r="AC68" s="466"/>
    </row>
    <row r="69" spans="1:29">
      <c r="A69" s="32"/>
      <c r="B69" s="87" t="s">
        <v>314</v>
      </c>
      <c r="C69" s="213">
        <f>'11.Riep. dim. travi e pil.'!$B$9</f>
        <v>30</v>
      </c>
      <c r="D69" s="214">
        <f>'11.Riep. dim. travi e pil.'!$C$9</f>
        <v>80</v>
      </c>
      <c r="E69" s="215">
        <f>C69*D69^3/12</f>
        <v>1280000</v>
      </c>
      <c r="F69" s="216">
        <v>3.2</v>
      </c>
      <c r="G69" s="217">
        <f>$C$1*E69/F69/100</f>
        <v>126000000</v>
      </c>
      <c r="H69" s="218"/>
      <c r="I69" s="218"/>
      <c r="J69" s="219">
        <f>12*G69/F69^2/1000000</f>
        <v>147.65624999999997</v>
      </c>
      <c r="K69" s="220">
        <f>G69/(H70+H71)*2</f>
        <v>1.9651047619047621</v>
      </c>
      <c r="L69" s="221">
        <f>1/(1+0.5*(K69+K72+2/3*K69*K72)/(1+(K69+K72)/6))</f>
        <v>0.33725621193822752</v>
      </c>
      <c r="M69" s="236">
        <f>J69*L69</f>
        <v>49.797987544003895</v>
      </c>
      <c r="N69" s="237">
        <v>2</v>
      </c>
      <c r="Q69" s="87" t="s">
        <v>314</v>
      </c>
      <c r="R69" s="213">
        <f>'11.Riep. dim. travi e pil.'!$C$10</f>
        <v>80</v>
      </c>
      <c r="S69" s="214">
        <f>'11.Riep. dim. travi e pil.'!$B$10</f>
        <v>30</v>
      </c>
      <c r="T69" s="215">
        <f>R69*S69^3/12</f>
        <v>180000</v>
      </c>
      <c r="U69" s="216">
        <v>3.2</v>
      </c>
      <c r="V69" s="217">
        <f>$C$1*T69/U69/100</f>
        <v>17718750</v>
      </c>
      <c r="W69" s="218"/>
      <c r="X69" s="218"/>
      <c r="Y69" s="219">
        <f>12*V69/U69^2/1000000</f>
        <v>20.764160156249996</v>
      </c>
      <c r="Z69" s="249">
        <f>V69/(W70+W71)*2</f>
        <v>7.0664542558033681</v>
      </c>
      <c r="AA69" s="221">
        <f>1/(1+0.5*(Z69+Z72+2/3*Z69*Z72)/(1+(Z69+Z72)/6))</f>
        <v>0.12397020652296581</v>
      </c>
      <c r="AB69" s="236">
        <f>Y69*AA69</f>
        <v>2.5741372228462502</v>
      </c>
      <c r="AC69" s="237">
        <v>6</v>
      </c>
    </row>
    <row r="70" spans="1:29" ht="15" customHeight="1">
      <c r="A70" s="32"/>
      <c r="B70" s="234" t="s">
        <v>332</v>
      </c>
      <c r="C70" s="222">
        <f>'11.Riep. dim. travi e pil.'!$B$20</f>
        <v>30</v>
      </c>
      <c r="D70" s="250">
        <f>'11.Riep. dim. travi e pil.'!$C$19</f>
        <v>75</v>
      </c>
      <c r="E70" s="232">
        <f>C70*D70^3/12</f>
        <v>1054687.5</v>
      </c>
      <c r="F70" s="203">
        <v>5.85</v>
      </c>
      <c r="G70" s="31"/>
      <c r="H70" s="223">
        <f>$C$1*E70/F70/100</f>
        <v>56790865.384615391</v>
      </c>
      <c r="I70" s="31"/>
      <c r="J70" s="31"/>
      <c r="K70" s="329" t="s">
        <v>364</v>
      </c>
      <c r="L70" s="31"/>
      <c r="M70" s="31"/>
      <c r="N70" s="32"/>
      <c r="Q70" s="234" t="s">
        <v>332</v>
      </c>
      <c r="R70" s="222">
        <f>'11.Riep. dim. travi e pil.'!$D$19</f>
        <v>50</v>
      </c>
      <c r="S70" s="202">
        <f>'11.Riep. dim. travi e pil.'!$E$19</f>
        <v>26</v>
      </c>
      <c r="T70" s="232">
        <f>R70*S70^3/12</f>
        <v>73233.333333333328</v>
      </c>
      <c r="U70" s="203">
        <v>4.5999999999999996</v>
      </c>
      <c r="V70" s="31"/>
      <c r="W70" s="223">
        <f>$C$1*T70/U70/100</f>
        <v>5014891.3043478262</v>
      </c>
      <c r="X70" s="31"/>
      <c r="Y70" s="31"/>
      <c r="Z70" s="329" t="s">
        <v>364</v>
      </c>
      <c r="AA70" s="31"/>
      <c r="AB70" s="31"/>
      <c r="AC70" s="32"/>
    </row>
    <row r="71" spans="1:29">
      <c r="A71" s="242"/>
      <c r="B71" s="234" t="s">
        <v>333</v>
      </c>
      <c r="C71" s="222">
        <v>30</v>
      </c>
      <c r="D71" s="202">
        <f>IF(C71=0,0,'11.Riep. dim. travi e pil.'!$C$19)</f>
        <v>75</v>
      </c>
      <c r="E71" s="232">
        <f t="shared" ref="E71:E73" si="13">C71*D71^3/12</f>
        <v>1054687.5</v>
      </c>
      <c r="F71" s="207">
        <v>4.6500000000000004</v>
      </c>
      <c r="G71" s="31"/>
      <c r="H71" s="223">
        <f>IF(C71=0,0,$C$1*E71/F71/100)</f>
        <v>71446572.580645144</v>
      </c>
      <c r="I71" s="31"/>
      <c r="J71" s="31"/>
      <c r="K71" s="329"/>
      <c r="L71" s="31"/>
      <c r="M71" s="31"/>
      <c r="N71" s="32"/>
      <c r="Q71" s="234" t="s">
        <v>333</v>
      </c>
      <c r="R71" s="222">
        <v>0</v>
      </c>
      <c r="S71" s="202">
        <f>IF(R71=0,0,'11.Riep. dim. travi e pil.'!$E$19)</f>
        <v>0</v>
      </c>
      <c r="T71" s="241">
        <f t="shared" ref="T71:T73" si="14">R71*S71^3/12</f>
        <v>0</v>
      </c>
      <c r="U71" s="207">
        <v>0</v>
      </c>
      <c r="V71" s="31"/>
      <c r="W71" s="223">
        <f>IF(R71=0,0,$C$1*T71/U71/100)</f>
        <v>0</v>
      </c>
      <c r="X71" s="31"/>
      <c r="Y71" s="31"/>
      <c r="Z71" s="329"/>
      <c r="AA71" s="31"/>
      <c r="AB71" s="31"/>
      <c r="AC71" s="32"/>
    </row>
    <row r="72" spans="1:29">
      <c r="A72" s="32"/>
      <c r="B72" s="235" t="s">
        <v>371</v>
      </c>
      <c r="C72" s="222">
        <v>30</v>
      </c>
      <c r="D72" s="202">
        <f>IF(C72=0,0,'11.Riep. dim. travi e pil.'!$C$20)</f>
        <v>75</v>
      </c>
      <c r="E72" s="232">
        <f t="shared" si="13"/>
        <v>1054687.5</v>
      </c>
      <c r="F72" s="207"/>
      <c r="G72" s="31"/>
      <c r="H72" s="31"/>
      <c r="I72" s="225">
        <f>IF(C72=0,10^99,$C$1*E72/F70/100)</f>
        <v>56790865.384615391</v>
      </c>
      <c r="J72" s="31"/>
      <c r="K72" s="226">
        <f>G69/(I72+I73)*2</f>
        <v>1.9651047619047621</v>
      </c>
      <c r="L72" s="31"/>
      <c r="M72" s="31"/>
      <c r="N72" s="32"/>
      <c r="Q72" s="235" t="s">
        <v>371</v>
      </c>
      <c r="R72" s="222">
        <f>'11.Riep. dim. travi e pil.'!$D$20</f>
        <v>50</v>
      </c>
      <c r="S72" s="202">
        <f>IF(R72=0,0,'11.Riep. dim. travi e pil.'!$E$20)</f>
        <v>26</v>
      </c>
      <c r="T72" s="241">
        <f t="shared" si="14"/>
        <v>73233.333333333328</v>
      </c>
      <c r="U72" s="207"/>
      <c r="V72" s="31"/>
      <c r="W72" s="31"/>
      <c r="X72" s="225">
        <f>IF(R72=0,10^99,$C$1*T72/U70/100)</f>
        <v>5014891.3043478262</v>
      </c>
      <c r="Y72" s="31"/>
      <c r="Z72" s="226">
        <f>V69/(X72+X73)*2</f>
        <v>7.0664542558033681</v>
      </c>
      <c r="AA72" s="31"/>
      <c r="AB72" s="31"/>
      <c r="AC72" s="32"/>
    </row>
    <row r="73" spans="1:29">
      <c r="A73" s="32"/>
      <c r="B73" s="235" t="s">
        <v>372</v>
      </c>
      <c r="C73" s="222">
        <v>30</v>
      </c>
      <c r="D73" s="202">
        <f>IF(C73=0,0,'11.Riep. dim. travi e pil.'!$C$20)</f>
        <v>75</v>
      </c>
      <c r="E73" s="232">
        <f t="shared" si="13"/>
        <v>1054687.5</v>
      </c>
      <c r="F73" s="207"/>
      <c r="G73" s="31"/>
      <c r="H73" s="31"/>
      <c r="I73" s="230">
        <f>IF(C73=0,0,$C$1*E73/F71/100)</f>
        <v>71446572.580645144</v>
      </c>
      <c r="J73" s="42"/>
      <c r="K73" s="42"/>
      <c r="L73" s="42"/>
      <c r="M73" s="42"/>
      <c r="N73" s="44"/>
      <c r="Q73" s="235" t="s">
        <v>372</v>
      </c>
      <c r="R73" s="222">
        <v>0</v>
      </c>
      <c r="S73" s="202">
        <f>IF(R73=0,0,'11.Riep. dim. travi e pil.'!$E$20)</f>
        <v>0</v>
      </c>
      <c r="T73" s="241">
        <f t="shared" si="14"/>
        <v>0</v>
      </c>
      <c r="U73" s="207"/>
      <c r="V73" s="31"/>
      <c r="W73" s="31"/>
      <c r="X73" s="230">
        <f>IF(R73=0,0,$C$1*T73/U71/100)</f>
        <v>0</v>
      </c>
      <c r="Y73" s="42"/>
      <c r="Z73" s="42"/>
      <c r="AA73" s="42"/>
      <c r="AB73" s="42"/>
      <c r="AC73" s="44"/>
    </row>
    <row r="74" spans="1:29">
      <c r="A74" s="31"/>
      <c r="B74" s="467" t="s">
        <v>382</v>
      </c>
      <c r="C74" s="468"/>
      <c r="D74" s="468"/>
      <c r="E74" s="468"/>
      <c r="F74" s="468"/>
      <c r="Q74" s="467" t="s">
        <v>386</v>
      </c>
      <c r="R74" s="468"/>
      <c r="S74" s="468"/>
      <c r="T74" s="468"/>
      <c r="U74" s="468"/>
    </row>
    <row r="75" spans="1:29">
      <c r="A75" s="243"/>
      <c r="B75" s="341"/>
      <c r="C75" s="469" t="s">
        <v>319</v>
      </c>
      <c r="D75" s="469" t="s">
        <v>323</v>
      </c>
      <c r="E75" s="429" t="s">
        <v>324</v>
      </c>
      <c r="F75" s="469" t="s">
        <v>325</v>
      </c>
      <c r="G75" s="429" t="s">
        <v>365</v>
      </c>
      <c r="H75" s="429" t="s">
        <v>366</v>
      </c>
      <c r="I75" s="429" t="s">
        <v>367</v>
      </c>
      <c r="J75" s="460" t="s">
        <v>368</v>
      </c>
      <c r="K75" s="429" t="s">
        <v>363</v>
      </c>
      <c r="L75" s="461" t="s">
        <v>369</v>
      </c>
      <c r="M75" s="463" t="s">
        <v>370</v>
      </c>
      <c r="N75" s="465" t="s">
        <v>320</v>
      </c>
      <c r="Q75" s="341"/>
      <c r="R75" s="469" t="s">
        <v>319</v>
      </c>
      <c r="S75" s="469" t="s">
        <v>323</v>
      </c>
      <c r="T75" s="429" t="s">
        <v>324</v>
      </c>
      <c r="U75" s="469" t="s">
        <v>325</v>
      </c>
      <c r="V75" s="429" t="s">
        <v>365</v>
      </c>
      <c r="W75" s="429" t="s">
        <v>366</v>
      </c>
      <c r="X75" s="429" t="s">
        <v>367</v>
      </c>
      <c r="Y75" s="460" t="s">
        <v>368</v>
      </c>
      <c r="Z75" s="429" t="s">
        <v>363</v>
      </c>
      <c r="AA75" s="461" t="s">
        <v>369</v>
      </c>
      <c r="AB75" s="463" t="s">
        <v>370</v>
      </c>
      <c r="AC75" s="465" t="s">
        <v>320</v>
      </c>
    </row>
    <row r="76" spans="1:29">
      <c r="A76" s="31"/>
      <c r="B76" s="341"/>
      <c r="C76" s="459"/>
      <c r="D76" s="459"/>
      <c r="E76" s="459"/>
      <c r="F76" s="459"/>
      <c r="G76" s="459"/>
      <c r="H76" s="459"/>
      <c r="I76" s="459"/>
      <c r="J76" s="459"/>
      <c r="K76" s="459"/>
      <c r="L76" s="462"/>
      <c r="M76" s="464"/>
      <c r="N76" s="466"/>
      <c r="Q76" s="341"/>
      <c r="R76" s="459"/>
      <c r="S76" s="459"/>
      <c r="T76" s="459"/>
      <c r="U76" s="459"/>
      <c r="V76" s="459"/>
      <c r="W76" s="459"/>
      <c r="X76" s="459"/>
      <c r="Y76" s="459"/>
      <c r="Z76" s="459"/>
      <c r="AA76" s="462"/>
      <c r="AB76" s="464"/>
      <c r="AC76" s="466"/>
    </row>
    <row r="77" spans="1:29">
      <c r="A77" s="31"/>
      <c r="B77" s="87" t="s">
        <v>314</v>
      </c>
      <c r="C77" s="213">
        <f>'11.Riep. dim. travi e pil.'!$C$9</f>
        <v>80</v>
      </c>
      <c r="D77" s="214">
        <f>'11.Riep. dim. travi e pil.'!$B$9</f>
        <v>30</v>
      </c>
      <c r="E77" s="215">
        <f>C77*D77^3/12</f>
        <v>180000</v>
      </c>
      <c r="F77" s="216">
        <v>3.2</v>
      </c>
      <c r="G77" s="217">
        <f>$C$1*E77/F77/100</f>
        <v>17718750</v>
      </c>
      <c r="H77" s="218"/>
      <c r="I77" s="218"/>
      <c r="J77" s="219">
        <f>12*G77/F77^2/1000000</f>
        <v>20.764160156249996</v>
      </c>
      <c r="K77" s="220">
        <f>G77/(H78+H79)*2</f>
        <v>0.53333333333333333</v>
      </c>
      <c r="L77" s="221">
        <f>1/(1+0.5*(K77+K80+2/3*K77*K80)/(1+(K77+K80)/6))</f>
        <v>0.65217391304347827</v>
      </c>
      <c r="M77" s="236">
        <f>J77*L77</f>
        <v>13.541843580163041</v>
      </c>
      <c r="N77" s="237">
        <v>16</v>
      </c>
      <c r="Q77" s="87" t="s">
        <v>314</v>
      </c>
      <c r="R77" s="213">
        <f>'11.Riep. dim. travi e pil.'!$C$10</f>
        <v>80</v>
      </c>
      <c r="S77" s="214">
        <f>'11.Riep. dim. travi e pil.'!$B$10</f>
        <v>30</v>
      </c>
      <c r="T77" s="215">
        <f>R77*S77^3/12</f>
        <v>180000</v>
      </c>
      <c r="U77" s="216">
        <v>3.2</v>
      </c>
      <c r="V77" s="217">
        <f>$C$1*T77/U77/100</f>
        <v>17718750</v>
      </c>
      <c r="W77" s="218"/>
      <c r="X77" s="218"/>
      <c r="Y77" s="219">
        <f>12*V77/U77^2/1000000</f>
        <v>20.764160156249996</v>
      </c>
      <c r="Z77" s="249">
        <f>V77/(W78+W79)*2</f>
        <v>2.5807919890760127</v>
      </c>
      <c r="AA77" s="221">
        <f>1/(1+0.5*(Z77+Z80+2/3*Z77*Z80)/(1+(Z77+Z80)/6))</f>
        <v>0.27926782763442226</v>
      </c>
      <c r="AB77" s="236">
        <f>Y77*AA77</f>
        <v>5.7987618994891621</v>
      </c>
      <c r="AC77" s="237">
        <v>2</v>
      </c>
    </row>
    <row r="78" spans="1:29" ht="19.5" customHeight="1">
      <c r="A78" s="31"/>
      <c r="B78" s="234" t="s">
        <v>332</v>
      </c>
      <c r="C78" s="222">
        <f>'11.Riep. dim. travi e pil.'!$B$20</f>
        <v>30</v>
      </c>
      <c r="D78" s="250">
        <f>'11.Riep. dim. travi e pil.'!$C$19</f>
        <v>75</v>
      </c>
      <c r="E78" s="232">
        <f>C78*D78^3/12</f>
        <v>1054687.5</v>
      </c>
      <c r="F78" s="203">
        <v>5</v>
      </c>
      <c r="G78" s="31"/>
      <c r="H78" s="223">
        <f>$C$1*E78/F78/100</f>
        <v>66445312.5</v>
      </c>
      <c r="I78" s="31"/>
      <c r="J78" s="31"/>
      <c r="K78" s="329" t="s">
        <v>364</v>
      </c>
      <c r="L78" s="31"/>
      <c r="M78" s="31"/>
      <c r="N78" s="32"/>
      <c r="Q78" s="234" t="s">
        <v>332</v>
      </c>
      <c r="R78" s="222">
        <f>'11.Riep. dim. travi e pil.'!$D$19</f>
        <v>50</v>
      </c>
      <c r="S78" s="202">
        <f>'11.Riep. dim. travi e pil.'!$E$19</f>
        <v>26</v>
      </c>
      <c r="T78" s="232">
        <f>R78*S78^3/12</f>
        <v>73233.333333333328</v>
      </c>
      <c r="U78" s="203">
        <v>4.2</v>
      </c>
      <c r="V78" s="31"/>
      <c r="W78" s="223">
        <f>$C$1*T78/U78/100</f>
        <v>5492500</v>
      </c>
      <c r="X78" s="31"/>
      <c r="Y78" s="31"/>
      <c r="Z78" s="329" t="s">
        <v>364</v>
      </c>
      <c r="AA78" s="31"/>
      <c r="AB78" s="31"/>
      <c r="AC78" s="32"/>
    </row>
    <row r="79" spans="1:29">
      <c r="A79" s="243"/>
      <c r="B79" s="234" t="s">
        <v>333</v>
      </c>
      <c r="C79" s="222">
        <v>0</v>
      </c>
      <c r="D79" s="202">
        <f>IF(C79=0,0,'11.Riep. dim. travi e pil.'!$C$19)</f>
        <v>0</v>
      </c>
      <c r="E79" s="232">
        <f t="shared" ref="E79:E81" si="15">C79*D79^3/12</f>
        <v>0</v>
      </c>
      <c r="F79" s="207">
        <v>0</v>
      </c>
      <c r="G79" s="31"/>
      <c r="H79" s="223">
        <f>IF(C79=0,0,$C$1*E79/F79/100)</f>
        <v>0</v>
      </c>
      <c r="I79" s="31"/>
      <c r="J79" s="31"/>
      <c r="K79" s="329"/>
      <c r="L79" s="31"/>
      <c r="M79" s="31"/>
      <c r="N79" s="32"/>
      <c r="Q79" s="234" t="s">
        <v>333</v>
      </c>
      <c r="R79" s="222">
        <f>'11.Riep. dim. travi e pil.'!$D$19</f>
        <v>50</v>
      </c>
      <c r="S79" s="202">
        <f>IF(R79=0,0,'11.Riep. dim. travi e pil.'!$E$19)</f>
        <v>26</v>
      </c>
      <c r="T79" s="241">
        <f t="shared" ref="T79:T81" si="16">R79*S79^3/12</f>
        <v>73233.333333333328</v>
      </c>
      <c r="U79" s="207">
        <v>2.8</v>
      </c>
      <c r="V79" s="31"/>
      <c r="W79" s="223">
        <f>IF(R79=0,0,$C$1*T79/U79/100)</f>
        <v>8238750</v>
      </c>
      <c r="X79" s="31"/>
      <c r="Y79" s="31"/>
      <c r="Z79" s="329"/>
      <c r="AA79" s="31"/>
      <c r="AB79" s="31"/>
      <c r="AC79" s="32"/>
    </row>
    <row r="80" spans="1:29">
      <c r="A80" s="31"/>
      <c r="B80" s="235" t="s">
        <v>371</v>
      </c>
      <c r="C80" s="222">
        <v>30</v>
      </c>
      <c r="D80" s="202">
        <f>IF(C80=0,0,'11.Riep. dim. travi e pil.'!$C$20)</f>
        <v>75</v>
      </c>
      <c r="E80" s="232">
        <f t="shared" si="15"/>
        <v>1054687.5</v>
      </c>
      <c r="F80" s="207"/>
      <c r="G80" s="31"/>
      <c r="H80" s="31"/>
      <c r="I80" s="225">
        <f>IF(C80=0,10^99,$C$1*E80/F78/100)</f>
        <v>66445312.5</v>
      </c>
      <c r="J80" s="31"/>
      <c r="K80" s="226">
        <f>G77/(I80+I81)*2</f>
        <v>0.53333333333333333</v>
      </c>
      <c r="L80" s="31"/>
      <c r="M80" s="31"/>
      <c r="N80" s="32"/>
      <c r="Q80" s="235" t="s">
        <v>371</v>
      </c>
      <c r="R80" s="222">
        <f>'11.Riep. dim. travi e pil.'!$D$20</f>
        <v>50</v>
      </c>
      <c r="S80" s="202">
        <f>IF(R80=0,0,'11.Riep. dim. travi e pil.'!$E$20)</f>
        <v>26</v>
      </c>
      <c r="T80" s="241">
        <f t="shared" si="16"/>
        <v>73233.333333333328</v>
      </c>
      <c r="U80" s="207"/>
      <c r="V80" s="31"/>
      <c r="W80" s="31"/>
      <c r="X80" s="225">
        <f>IF(R80=0,10^99,$C$1*T80/U78/100)</f>
        <v>5492500</v>
      </c>
      <c r="Y80" s="31"/>
      <c r="Z80" s="226">
        <f>V77/(X80+X81)*2</f>
        <v>2.5807919890760127</v>
      </c>
      <c r="AA80" s="31"/>
      <c r="AB80" s="31"/>
      <c r="AC80" s="32"/>
    </row>
    <row r="81" spans="1:29" ht="15.75" thickBot="1">
      <c r="A81" s="31"/>
      <c r="B81" s="235" t="s">
        <v>372</v>
      </c>
      <c r="C81" s="222">
        <v>0</v>
      </c>
      <c r="D81" s="202">
        <f>IF(C81=0,0,'11.Riep. dim. travi e pil.'!$C$20)</f>
        <v>0</v>
      </c>
      <c r="E81" s="232">
        <f t="shared" si="15"/>
        <v>0</v>
      </c>
      <c r="F81" s="207"/>
      <c r="G81" s="31"/>
      <c r="H81" s="31"/>
      <c r="I81" s="230">
        <f>IF(C81=0,0,$C$1*E81/F79/100)</f>
        <v>0</v>
      </c>
      <c r="J81" s="42"/>
      <c r="K81" s="42"/>
      <c r="L81" s="42"/>
      <c r="M81" s="42"/>
      <c r="N81" s="44"/>
      <c r="Q81" s="235" t="s">
        <v>372</v>
      </c>
      <c r="R81" s="222">
        <f>'11.Riep. dim. travi e pil.'!$D$20</f>
        <v>50</v>
      </c>
      <c r="S81" s="202">
        <f>IF(R81=0,0,'11.Riep. dim. travi e pil.'!$E$20)</f>
        <v>26</v>
      </c>
      <c r="T81" s="241">
        <f t="shared" si="16"/>
        <v>73233.333333333328</v>
      </c>
      <c r="U81" s="207"/>
      <c r="V81" s="31"/>
      <c r="W81" s="31"/>
      <c r="X81" s="230">
        <f>IF(R81=0,0,$C$1*T81/U79/100)</f>
        <v>8238750</v>
      </c>
      <c r="Y81" s="42"/>
      <c r="Z81" s="42"/>
      <c r="AA81" s="42"/>
      <c r="AB81" s="42"/>
      <c r="AC81" s="44"/>
    </row>
    <row r="82" spans="1:29" ht="19.5" thickBot="1">
      <c r="A82" s="257"/>
      <c r="B82" s="455" t="s">
        <v>133</v>
      </c>
      <c r="C82" s="456"/>
      <c r="D82" s="456"/>
      <c r="E82" s="456"/>
      <c r="F82" s="456"/>
      <c r="M82" s="248">
        <f>M53*N53+M61*N61+M69*N69+M77*N77</f>
        <v>815.51229810442669</v>
      </c>
      <c r="N82" s="181" t="s">
        <v>326</v>
      </c>
      <c r="Q82" s="467" t="s">
        <v>382</v>
      </c>
      <c r="R82" s="468"/>
      <c r="S82" s="468"/>
      <c r="T82" s="468"/>
      <c r="U82" s="468"/>
    </row>
    <row r="83" spans="1:29" ht="15.75">
      <c r="A83" s="258"/>
      <c r="B83" s="457" t="s">
        <v>328</v>
      </c>
      <c r="C83" s="458"/>
      <c r="D83" s="458"/>
      <c r="E83" s="458"/>
      <c r="F83" s="458"/>
      <c r="G83" s="458"/>
      <c r="H83" s="42"/>
      <c r="I83" s="42"/>
      <c r="J83" s="42"/>
      <c r="K83" s="42"/>
      <c r="L83" s="42"/>
      <c r="M83" s="42"/>
      <c r="N83" s="182">
        <f>M82/M53</f>
        <v>12.27675862085489</v>
      </c>
      <c r="Q83" s="341"/>
      <c r="R83" s="469" t="s">
        <v>319</v>
      </c>
      <c r="S83" s="469" t="s">
        <v>323</v>
      </c>
      <c r="T83" s="429" t="s">
        <v>324</v>
      </c>
      <c r="U83" s="469" t="s">
        <v>325</v>
      </c>
      <c r="V83" s="429" t="s">
        <v>365</v>
      </c>
      <c r="W83" s="429" t="s">
        <v>366</v>
      </c>
      <c r="X83" s="429" t="s">
        <v>367</v>
      </c>
      <c r="Y83" s="460" t="s">
        <v>368</v>
      </c>
      <c r="Z83" s="429" t="s">
        <v>363</v>
      </c>
      <c r="AA83" s="461" t="s">
        <v>369</v>
      </c>
      <c r="AB83" s="463" t="s">
        <v>370</v>
      </c>
      <c r="AC83" s="465" t="s">
        <v>320</v>
      </c>
    </row>
    <row r="84" spans="1:29">
      <c r="Q84" s="341"/>
      <c r="R84" s="459"/>
      <c r="S84" s="459"/>
      <c r="T84" s="459"/>
      <c r="U84" s="459"/>
      <c r="V84" s="459"/>
      <c r="W84" s="459"/>
      <c r="X84" s="459"/>
      <c r="Y84" s="459"/>
      <c r="Z84" s="459"/>
      <c r="AA84" s="462"/>
      <c r="AB84" s="464"/>
      <c r="AC84" s="466"/>
    </row>
    <row r="85" spans="1:29">
      <c r="Q85" s="87" t="s">
        <v>314</v>
      </c>
      <c r="R85" s="213">
        <f>'11.Riep. dim. travi e pil.'!$C$10</f>
        <v>80</v>
      </c>
      <c r="S85" s="214">
        <f>'11.Riep. dim. travi e pil.'!$B$10</f>
        <v>30</v>
      </c>
      <c r="T85" s="215">
        <f>R85*S85^3/12</f>
        <v>180000</v>
      </c>
      <c r="U85" s="216">
        <v>3.2</v>
      </c>
      <c r="V85" s="217">
        <f>$C$1*T85/U85/100</f>
        <v>17718750</v>
      </c>
      <c r="W85" s="218"/>
      <c r="X85" s="218"/>
      <c r="Y85" s="219">
        <f>12*V85/U85^2/1000000</f>
        <v>20.764160156249996</v>
      </c>
      <c r="Z85" s="220">
        <f>V85/(W86+W87)*2</f>
        <v>0.17385074626865671</v>
      </c>
      <c r="AA85" s="221">
        <f>1/(1+0.5*(Z85+Z88+2/3*Z85*Z88)/(1+(Z85+Z88)/6))</f>
        <v>0.85189706031939783</v>
      </c>
      <c r="AB85" s="236">
        <f>Y85*AA85</f>
        <v>17.688926997110539</v>
      </c>
      <c r="AC85" s="237">
        <v>6</v>
      </c>
    </row>
    <row r="86" spans="1:29">
      <c r="Q86" s="234" t="s">
        <v>332</v>
      </c>
      <c r="R86" s="222">
        <f>'11.Riep. dim. travi e pil.'!$B$19</f>
        <v>30</v>
      </c>
      <c r="S86" s="250">
        <f>'11.Riep. dim. travi e pil.'!$C$19</f>
        <v>75</v>
      </c>
      <c r="T86" s="232">
        <f>R86*S86^3/12</f>
        <v>1054687.5</v>
      </c>
      <c r="U86" s="203">
        <v>3.9</v>
      </c>
      <c r="V86" s="31"/>
      <c r="W86" s="223">
        <f>$C$1*T86/U86/100</f>
        <v>85186298.076923072</v>
      </c>
      <c r="X86" s="31"/>
      <c r="Y86" s="31"/>
      <c r="Z86" s="329" t="s">
        <v>364</v>
      </c>
      <c r="AA86" s="31"/>
      <c r="AB86" s="31"/>
      <c r="AC86" s="32"/>
    </row>
    <row r="87" spans="1:29">
      <c r="A87" s="259"/>
      <c r="Q87" s="234" t="s">
        <v>333</v>
      </c>
      <c r="R87" s="222">
        <v>30</v>
      </c>
      <c r="S87" s="202">
        <f>IF(R87=0,0,'11.Riep. dim. travi e pil.'!$C$19)</f>
        <v>75</v>
      </c>
      <c r="T87" s="241">
        <f t="shared" ref="T87:T89" si="17">R87*S87^3/12</f>
        <v>1054687.5</v>
      </c>
      <c r="U87" s="207">
        <v>2.8</v>
      </c>
      <c r="V87" s="31"/>
      <c r="W87" s="223">
        <f>IF(R87=0,0,$C$1*T87/U87/100)</f>
        <v>118652343.75</v>
      </c>
      <c r="X87" s="31"/>
      <c r="Y87" s="31"/>
      <c r="Z87" s="329"/>
      <c r="AA87" s="31"/>
      <c r="AB87" s="31"/>
      <c r="AC87" s="32"/>
    </row>
    <row r="88" spans="1:29">
      <c r="A88" s="31"/>
      <c r="Q88" s="235" t="s">
        <v>371</v>
      </c>
      <c r="R88" s="222">
        <f>R86</f>
        <v>30</v>
      </c>
      <c r="S88" s="202">
        <f>IF(R88=0,0,'11.Riep. dim. travi e pil.'!$C$20)</f>
        <v>75</v>
      </c>
      <c r="T88" s="241">
        <f t="shared" si="17"/>
        <v>1054687.5</v>
      </c>
      <c r="U88" s="207"/>
      <c r="V88" s="31"/>
      <c r="W88" s="31"/>
      <c r="X88" s="225">
        <f>IF(R88=0,10^99,$C$1*T88/U86/100)</f>
        <v>85186298.076923072</v>
      </c>
      <c r="Y88" s="31"/>
      <c r="Z88" s="226">
        <f>V85/(X88+X89)*2</f>
        <v>0.17385074626865671</v>
      </c>
      <c r="AA88" s="31"/>
      <c r="AB88" s="31"/>
      <c r="AC88" s="32"/>
    </row>
    <row r="89" spans="1:29" ht="15.75" customHeight="1" thickBot="1">
      <c r="A89" s="245"/>
      <c r="Q89" s="235" t="s">
        <v>372</v>
      </c>
      <c r="R89" s="222">
        <f>R87</f>
        <v>30</v>
      </c>
      <c r="S89" s="202">
        <f>IF(R89=0,0,'11.Riep. dim. travi e pil.'!$C$20)</f>
        <v>75</v>
      </c>
      <c r="T89" s="241">
        <f t="shared" si="17"/>
        <v>1054687.5</v>
      </c>
      <c r="U89" s="207"/>
      <c r="V89" s="31"/>
      <c r="W89" s="31"/>
      <c r="X89" s="230">
        <f>IF(R89=0,0,$C$1*T89/U87/100)</f>
        <v>118652343.75</v>
      </c>
      <c r="Y89" s="42"/>
      <c r="Z89" s="42"/>
      <c r="AA89" s="42"/>
      <c r="AB89" s="42"/>
      <c r="AC89" s="44"/>
    </row>
    <row r="90" spans="1:29" ht="19.5" thickBot="1">
      <c r="A90" s="245"/>
      <c r="Q90" s="455" t="s">
        <v>133</v>
      </c>
      <c r="R90" s="456"/>
      <c r="S90" s="456"/>
      <c r="T90" s="456"/>
      <c r="U90" s="456"/>
      <c r="AB90" s="248">
        <f>AB53*AC53+AB61*AC61+AB69*AC69+AB85*AC85+AB77*AC77</f>
        <v>870.82896595385012</v>
      </c>
      <c r="AC90" s="181" t="s">
        <v>326</v>
      </c>
    </row>
    <row r="91" spans="1:29" ht="15.75">
      <c r="A91" s="241"/>
      <c r="Q91" s="457" t="s">
        <v>328</v>
      </c>
      <c r="R91" s="458"/>
      <c r="S91" s="458"/>
      <c r="T91" s="458"/>
      <c r="U91" s="458"/>
      <c r="V91" s="458"/>
      <c r="W91" s="42"/>
      <c r="X91" s="42"/>
      <c r="Y91" s="42"/>
      <c r="Z91" s="42"/>
      <c r="AA91" s="42"/>
      <c r="AB91" s="42"/>
      <c r="AC91" s="182">
        <f>AB90/AB61</f>
        <v>15.107820009633636</v>
      </c>
    </row>
    <row r="92" spans="1:29">
      <c r="A92" s="31"/>
    </row>
    <row r="93" spans="1:29">
      <c r="A93" s="31"/>
      <c r="B93" s="180" t="s">
        <v>327</v>
      </c>
      <c r="C93" s="247" t="s">
        <v>334</v>
      </c>
    </row>
    <row r="94" spans="1:29">
      <c r="A94" s="31"/>
      <c r="B94" s="474" t="s">
        <v>321</v>
      </c>
      <c r="C94" s="475"/>
      <c r="D94" s="475"/>
      <c r="E94" s="475"/>
      <c r="F94" s="475"/>
      <c r="G94" s="475"/>
      <c r="H94" s="475"/>
      <c r="I94" s="475"/>
      <c r="J94" s="475"/>
      <c r="K94" s="475"/>
      <c r="L94" s="475"/>
      <c r="M94" s="476"/>
      <c r="Q94" s="474" t="s">
        <v>329</v>
      </c>
      <c r="R94" s="475"/>
      <c r="S94" s="475"/>
      <c r="T94" s="475"/>
      <c r="U94" s="475"/>
      <c r="V94" s="475"/>
      <c r="W94" s="475"/>
      <c r="X94" s="475"/>
      <c r="Y94" s="475"/>
      <c r="Z94" s="475"/>
      <c r="AA94" s="475"/>
      <c r="AB94" s="476"/>
    </row>
    <row r="95" spans="1:29">
      <c r="A95" s="241"/>
      <c r="B95" s="470" t="s">
        <v>317</v>
      </c>
      <c r="C95" s="471"/>
      <c r="D95" s="471"/>
      <c r="E95" s="471"/>
      <c r="F95" s="471"/>
      <c r="G95" s="88"/>
      <c r="H95" s="231"/>
      <c r="I95" s="88"/>
      <c r="J95" s="88"/>
      <c r="K95" s="88"/>
      <c r="L95" s="88"/>
      <c r="M95" s="231"/>
      <c r="Q95" s="470" t="s">
        <v>383</v>
      </c>
      <c r="R95" s="471"/>
      <c r="S95" s="471"/>
      <c r="T95" s="471"/>
      <c r="U95" s="471"/>
      <c r="V95" s="88"/>
      <c r="W95" s="231"/>
      <c r="X95" s="88"/>
      <c r="Y95" s="88"/>
      <c r="Z95" s="88"/>
      <c r="AA95" s="88"/>
      <c r="AB95" s="231"/>
    </row>
    <row r="96" spans="1:29" ht="15" customHeight="1">
      <c r="A96" s="31"/>
      <c r="B96" s="341"/>
      <c r="C96" s="469" t="s">
        <v>319</v>
      </c>
      <c r="D96" s="469" t="s">
        <v>323</v>
      </c>
      <c r="E96" s="429" t="s">
        <v>324</v>
      </c>
      <c r="F96" s="469" t="s">
        <v>325</v>
      </c>
      <c r="G96" s="429" t="s">
        <v>365</v>
      </c>
      <c r="H96" s="429" t="s">
        <v>366</v>
      </c>
      <c r="I96" s="429" t="s">
        <v>367</v>
      </c>
      <c r="J96" s="460" t="s">
        <v>368</v>
      </c>
      <c r="K96" s="429" t="s">
        <v>363</v>
      </c>
      <c r="L96" s="461" t="s">
        <v>369</v>
      </c>
      <c r="M96" s="463" t="s">
        <v>370</v>
      </c>
      <c r="N96" s="465" t="s">
        <v>320</v>
      </c>
      <c r="Q96" s="341"/>
      <c r="R96" s="465" t="s">
        <v>319</v>
      </c>
      <c r="S96" s="469" t="s">
        <v>323</v>
      </c>
      <c r="T96" s="429" t="s">
        <v>324</v>
      </c>
      <c r="U96" s="469" t="s">
        <v>325</v>
      </c>
      <c r="V96" s="429" t="s">
        <v>365</v>
      </c>
      <c r="W96" s="429" t="s">
        <v>366</v>
      </c>
      <c r="X96" s="429" t="s">
        <v>367</v>
      </c>
      <c r="Y96" s="460" t="s">
        <v>368</v>
      </c>
      <c r="Z96" s="429" t="s">
        <v>363</v>
      </c>
      <c r="AA96" s="461" t="s">
        <v>369</v>
      </c>
      <c r="AB96" s="463" t="s">
        <v>370</v>
      </c>
      <c r="AC96" s="465" t="s">
        <v>320</v>
      </c>
    </row>
    <row r="97" spans="1:29">
      <c r="A97" s="31"/>
      <c r="B97" s="341"/>
      <c r="C97" s="429"/>
      <c r="D97" s="429"/>
      <c r="E97" s="429"/>
      <c r="F97" s="429"/>
      <c r="G97" s="429"/>
      <c r="H97" s="429"/>
      <c r="I97" s="429"/>
      <c r="J97" s="429"/>
      <c r="K97" s="429"/>
      <c r="L97" s="461"/>
      <c r="M97" s="464"/>
      <c r="N97" s="466"/>
      <c r="Q97" s="341"/>
      <c r="R97" s="466"/>
      <c r="S97" s="429"/>
      <c r="T97" s="429"/>
      <c r="U97" s="429"/>
      <c r="V97" s="429"/>
      <c r="W97" s="429"/>
      <c r="X97" s="429"/>
      <c r="Y97" s="429"/>
      <c r="Z97" s="429"/>
      <c r="AA97" s="461"/>
      <c r="AB97" s="464"/>
      <c r="AC97" s="466"/>
    </row>
    <row r="98" spans="1:29" ht="15" customHeight="1">
      <c r="A98" s="31"/>
      <c r="B98" s="57" t="s">
        <v>314</v>
      </c>
      <c r="C98" s="213">
        <f>'11.Riep. dim. travi e pil.'!$B$7</f>
        <v>30</v>
      </c>
      <c r="D98" s="214">
        <f>'11.Riep. dim. travi e pil.'!$C$7</f>
        <v>70</v>
      </c>
      <c r="E98" s="215">
        <f>C98*D98^3/12</f>
        <v>857500</v>
      </c>
      <c r="F98" s="216">
        <v>3.2</v>
      </c>
      <c r="G98" s="217">
        <f>$C$1*E98/F98/100</f>
        <v>84410156.25</v>
      </c>
      <c r="H98" s="218"/>
      <c r="I98" s="218"/>
      <c r="J98" s="219">
        <f>12*G98/F98^2/1000000</f>
        <v>98.918151855468736</v>
      </c>
      <c r="K98" s="220">
        <f>G98/(H99+H100)*2</f>
        <v>1.2584378146508322</v>
      </c>
      <c r="L98" s="221">
        <f>1/(1+0.5*(K98+K101+2/3*K98*K101)/(1+(K98+K101)/6))</f>
        <v>0.4933704113584606</v>
      </c>
      <c r="M98" s="236">
        <f>J98*L98</f>
        <v>48.803289271751282</v>
      </c>
      <c r="N98" s="237">
        <v>4</v>
      </c>
      <c r="Q98" s="57" t="s">
        <v>314</v>
      </c>
      <c r="R98" s="213">
        <f>'11.Riep. dim. travi e pil.'!$B$7</f>
        <v>30</v>
      </c>
      <c r="S98" s="214">
        <f>'11.Riep. dim. travi e pil.'!$C$7</f>
        <v>70</v>
      </c>
      <c r="T98" s="215">
        <f>R98*S98^3/12</f>
        <v>857500</v>
      </c>
      <c r="U98" s="216">
        <v>3.2</v>
      </c>
      <c r="V98" s="217">
        <f>$C$1*T98/U98/100</f>
        <v>84410156.25</v>
      </c>
      <c r="W98" s="218"/>
      <c r="X98" s="218"/>
      <c r="Y98" s="219">
        <f>12*V98/U98^2/1000000</f>
        <v>98.918151855468736</v>
      </c>
      <c r="Z98" s="220">
        <f>V98/(W99+W100)*2</f>
        <v>2.8492262175694125</v>
      </c>
      <c r="AA98" s="221">
        <f>1/(1+0.5*(Z98+Z101+2/3*Z98*Z101)/(1+(Z98+Z101)/6))</f>
        <v>0.30249995737859453</v>
      </c>
      <c r="AB98" s="236">
        <f>Y98*AA98</f>
        <v>29.922736720248633</v>
      </c>
      <c r="AC98" s="237">
        <v>10</v>
      </c>
    </row>
    <row r="99" spans="1:29" ht="15" customHeight="1">
      <c r="A99" s="241"/>
      <c r="B99" s="211" t="s">
        <v>332</v>
      </c>
      <c r="C99" s="222">
        <f>'11.Riep. dim. travi e pil.'!$B$17</f>
        <v>30</v>
      </c>
      <c r="D99" s="250">
        <f>'11.Riep. dim. travi e pil.'!$C$17</f>
        <v>65</v>
      </c>
      <c r="E99" s="241">
        <f>C99*D99^3/12</f>
        <v>686562.5</v>
      </c>
      <c r="F99" s="203">
        <v>3.8</v>
      </c>
      <c r="G99" s="31"/>
      <c r="H99" s="223">
        <f>$C$1*E99/F99/100</f>
        <v>56912417.763157904</v>
      </c>
      <c r="I99" s="31"/>
      <c r="J99" s="31"/>
      <c r="K99" s="329" t="s">
        <v>364</v>
      </c>
      <c r="L99" s="31"/>
      <c r="M99" s="31"/>
      <c r="N99" s="32"/>
      <c r="Q99" s="211" t="s">
        <v>332</v>
      </c>
      <c r="R99" s="222">
        <f>'11.Riep. dim. travi e pil.'!$B$17</f>
        <v>30</v>
      </c>
      <c r="S99" s="202">
        <f>'11.Riep. dim. travi e pil.'!$C$17</f>
        <v>65</v>
      </c>
      <c r="T99" s="241">
        <f>R99*S99^3/12</f>
        <v>686562.5</v>
      </c>
      <c r="U99" s="203">
        <v>3.65</v>
      </c>
      <c r="V99" s="31"/>
      <c r="W99" s="223">
        <f>$C$1*T99/U99/100</f>
        <v>59251284.246575348</v>
      </c>
      <c r="X99" s="31"/>
      <c r="Y99" s="31"/>
      <c r="Z99" s="329" t="s">
        <v>364</v>
      </c>
      <c r="AA99" s="31"/>
      <c r="AB99" s="31"/>
      <c r="AC99" s="32"/>
    </row>
    <row r="100" spans="1:29">
      <c r="A100" s="31"/>
      <c r="B100" s="211" t="s">
        <v>333</v>
      </c>
      <c r="C100" s="222">
        <v>30</v>
      </c>
      <c r="D100" s="202">
        <f>IF(C100=0,0,'11.Riep. dim. travi e pil.'!$C$17)</f>
        <v>65</v>
      </c>
      <c r="E100" s="241">
        <f t="shared" ref="E100:E102" si="18">C100*D100^3/12</f>
        <v>686562.5</v>
      </c>
      <c r="F100" s="207">
        <v>2.8</v>
      </c>
      <c r="G100" s="31"/>
      <c r="H100" s="223">
        <f>$C$1*E100/F100/100</f>
        <v>77238281.250000015</v>
      </c>
      <c r="I100" s="31"/>
      <c r="J100" s="31"/>
      <c r="K100" s="329"/>
      <c r="L100" s="31"/>
      <c r="M100" s="31"/>
      <c r="N100" s="32"/>
      <c r="Q100" s="211" t="s">
        <v>333</v>
      </c>
      <c r="R100" s="222">
        <v>0</v>
      </c>
      <c r="S100" s="202">
        <f>IF(R100=0,0,'11.Riep. dim. travi e pil.'!$C$17)</f>
        <v>0</v>
      </c>
      <c r="T100" s="241">
        <f t="shared" ref="T100:T102" si="19">R100*S100^3/12</f>
        <v>0</v>
      </c>
      <c r="U100" s="207">
        <v>0</v>
      </c>
      <c r="V100" s="31"/>
      <c r="W100" s="223">
        <f>IF(R100=0,0,$C$1*T100/U100/100)</f>
        <v>0</v>
      </c>
      <c r="X100" s="31"/>
      <c r="Y100" s="31"/>
      <c r="Z100" s="329"/>
      <c r="AA100" s="31"/>
      <c r="AB100" s="31"/>
      <c r="AC100" s="32"/>
    </row>
    <row r="101" spans="1:29">
      <c r="A101" s="31"/>
      <c r="B101" s="212" t="s">
        <v>371</v>
      </c>
      <c r="C101" s="222">
        <f>C99</f>
        <v>30</v>
      </c>
      <c r="D101" s="202">
        <f>IF(C101=0,0,'11.Riep. dim. travi e pil.'!$C$18)</f>
        <v>75</v>
      </c>
      <c r="E101" s="241">
        <f t="shared" si="18"/>
        <v>1054687.5</v>
      </c>
      <c r="F101" s="207"/>
      <c r="G101" s="31"/>
      <c r="H101" s="31"/>
      <c r="I101" s="225">
        <f>IF(C101=0,10^99,$C$1*E101/F99/100)</f>
        <v>87428042.763157904</v>
      </c>
      <c r="J101" s="31"/>
      <c r="K101" s="226">
        <f>G98/(I101+I102)*2</f>
        <v>0.81919640852974185</v>
      </c>
      <c r="L101" s="31"/>
      <c r="M101" s="31"/>
      <c r="N101" s="32"/>
      <c r="Q101" s="212" t="s">
        <v>371</v>
      </c>
      <c r="R101" s="222">
        <f>R99</f>
        <v>30</v>
      </c>
      <c r="S101" s="202">
        <f>IF(R101=0,0,'11.Riep. dim. travi e pil.'!$C$18)</f>
        <v>75</v>
      </c>
      <c r="T101" s="241">
        <f t="shared" si="19"/>
        <v>1054687.5</v>
      </c>
      <c r="U101" s="207"/>
      <c r="V101" s="31"/>
      <c r="W101" s="31"/>
      <c r="X101" s="225">
        <f>IF(R101=0,10^99,$C$1*T101/U99/100)</f>
        <v>91020976.027397275</v>
      </c>
      <c r="Y101" s="31"/>
      <c r="Z101" s="226">
        <f>V98/(X101+X102)*2</f>
        <v>1.8547407407407404</v>
      </c>
      <c r="AA101" s="31"/>
      <c r="AB101" s="31"/>
      <c r="AC101" s="32"/>
    </row>
    <row r="102" spans="1:29">
      <c r="A102" s="31"/>
      <c r="B102" s="212" t="s">
        <v>372</v>
      </c>
      <c r="C102" s="253">
        <f>C100</f>
        <v>30</v>
      </c>
      <c r="D102" s="254">
        <f>IF(C102=0,0,'11.Riep. dim. travi e pil.'!$C$18)</f>
        <v>75</v>
      </c>
      <c r="E102" s="41">
        <f t="shared" si="18"/>
        <v>1054687.5</v>
      </c>
      <c r="F102" s="255"/>
      <c r="G102" s="42"/>
      <c r="H102" s="42"/>
      <c r="I102" s="230">
        <f>IF(C102=0,0,$C$1*E102/F100/100)</f>
        <v>118652343.75</v>
      </c>
      <c r="J102" s="42"/>
      <c r="K102" s="42"/>
      <c r="L102" s="42"/>
      <c r="M102" s="42"/>
      <c r="N102" s="44"/>
      <c r="Q102" s="212" t="s">
        <v>372</v>
      </c>
      <c r="R102" s="253">
        <f>R100</f>
        <v>0</v>
      </c>
      <c r="S102" s="254">
        <f>IF(R102=0,0,'11.Riep. dim. travi e pil.'!$C$18)</f>
        <v>0</v>
      </c>
      <c r="T102" s="41">
        <f t="shared" si="19"/>
        <v>0</v>
      </c>
      <c r="U102" s="255"/>
      <c r="V102" s="42"/>
      <c r="W102" s="42"/>
      <c r="X102" s="230">
        <f>IF(R102=0,0,$C$1*T102/U100/100)</f>
        <v>0</v>
      </c>
      <c r="Y102" s="42"/>
      <c r="Z102" s="42"/>
      <c r="AA102" s="42"/>
      <c r="AB102" s="42"/>
      <c r="AC102" s="44"/>
    </row>
    <row r="103" spans="1:29">
      <c r="A103" s="241"/>
      <c r="B103" s="467" t="s">
        <v>373</v>
      </c>
      <c r="C103" s="468"/>
      <c r="D103" s="468"/>
      <c r="E103" s="468"/>
      <c r="F103" s="468"/>
      <c r="N103" s="241"/>
      <c r="O103" s="31"/>
      <c r="Q103" s="467" t="s">
        <v>384</v>
      </c>
      <c r="R103" s="468"/>
      <c r="S103" s="468"/>
      <c r="T103" s="468"/>
      <c r="U103" s="468"/>
      <c r="AC103" s="241"/>
    </row>
    <row r="104" spans="1:29">
      <c r="A104" s="31"/>
      <c r="B104" s="341"/>
      <c r="C104" s="469" t="s">
        <v>319</v>
      </c>
      <c r="D104" s="469" t="s">
        <v>323</v>
      </c>
      <c r="E104" s="429" t="s">
        <v>324</v>
      </c>
      <c r="F104" s="469" t="s">
        <v>325</v>
      </c>
      <c r="G104" s="429" t="s">
        <v>365</v>
      </c>
      <c r="H104" s="429" t="s">
        <v>366</v>
      </c>
      <c r="I104" s="429" t="s">
        <v>367</v>
      </c>
      <c r="J104" s="460" t="s">
        <v>368</v>
      </c>
      <c r="K104" s="429" t="s">
        <v>363</v>
      </c>
      <c r="L104" s="461" t="s">
        <v>369</v>
      </c>
      <c r="M104" s="463" t="s">
        <v>370</v>
      </c>
      <c r="N104" s="465" t="s">
        <v>320</v>
      </c>
      <c r="Q104" s="341"/>
      <c r="R104" s="469" t="s">
        <v>319</v>
      </c>
      <c r="S104" s="469" t="s">
        <v>323</v>
      </c>
      <c r="T104" s="429" t="s">
        <v>324</v>
      </c>
      <c r="U104" s="469" t="s">
        <v>325</v>
      </c>
      <c r="V104" s="429" t="s">
        <v>365</v>
      </c>
      <c r="W104" s="429" t="s">
        <v>366</v>
      </c>
      <c r="X104" s="429" t="s">
        <v>367</v>
      </c>
      <c r="Y104" s="460" t="s">
        <v>368</v>
      </c>
      <c r="Z104" s="429" t="s">
        <v>363</v>
      </c>
      <c r="AA104" s="461" t="s">
        <v>369</v>
      </c>
      <c r="AB104" s="463" t="s">
        <v>370</v>
      </c>
      <c r="AC104" s="465" t="s">
        <v>320</v>
      </c>
    </row>
    <row r="105" spans="1:29">
      <c r="A105" s="31"/>
      <c r="B105" s="341"/>
      <c r="C105" s="459"/>
      <c r="D105" s="459"/>
      <c r="E105" s="459"/>
      <c r="F105" s="459"/>
      <c r="G105" s="459"/>
      <c r="H105" s="459"/>
      <c r="I105" s="459"/>
      <c r="J105" s="459"/>
      <c r="K105" s="459"/>
      <c r="L105" s="462"/>
      <c r="M105" s="464"/>
      <c r="N105" s="466"/>
      <c r="Q105" s="341"/>
      <c r="R105" s="459"/>
      <c r="S105" s="459"/>
      <c r="T105" s="459"/>
      <c r="U105" s="459"/>
      <c r="V105" s="459"/>
      <c r="W105" s="459"/>
      <c r="X105" s="459"/>
      <c r="Y105" s="459"/>
      <c r="Z105" s="459"/>
      <c r="AA105" s="462"/>
      <c r="AB105" s="464"/>
      <c r="AC105" s="466"/>
    </row>
    <row r="106" spans="1:29">
      <c r="A106" s="31"/>
      <c r="B106" s="87" t="s">
        <v>314</v>
      </c>
      <c r="C106" s="213">
        <f>'11.Riep. dim. travi e pil.'!$B$7</f>
        <v>30</v>
      </c>
      <c r="D106" s="214">
        <f>'11.Riep. dim. travi e pil.'!$C$7</f>
        <v>70</v>
      </c>
      <c r="E106" s="215">
        <f>C106*D106^3/12</f>
        <v>857500</v>
      </c>
      <c r="F106" s="216">
        <v>3.2</v>
      </c>
      <c r="G106" s="217">
        <f>$C$1*E106/F106/100</f>
        <v>84410156.25</v>
      </c>
      <c r="H106" s="218"/>
      <c r="I106" s="218"/>
      <c r="J106" s="219">
        <f>12*G106/F106^2/1000000</f>
        <v>98.918151855468736</v>
      </c>
      <c r="K106" s="220">
        <f>G106/(H107+H108)*2</f>
        <v>4.176263086026399</v>
      </c>
      <c r="L106" s="221">
        <f>1/(1+0.5*(K106+K109+2/3*K106*K109)/(1+(K106+K109)/6))</f>
        <v>0.22909306600380411</v>
      </c>
      <c r="M106" s="236">
        <f>J106*L106</f>
        <v>22.661462691999215</v>
      </c>
      <c r="N106" s="237">
        <v>8</v>
      </c>
      <c r="Q106" s="87" t="s">
        <v>314</v>
      </c>
      <c r="R106" s="213">
        <f>'11.Riep. dim. travi e pil.'!$B$7</f>
        <v>30</v>
      </c>
      <c r="S106" s="214">
        <f>'11.Riep. dim. travi e pil.'!$C$7</f>
        <v>70</v>
      </c>
      <c r="T106" s="215">
        <f>R106*S106^3/12</f>
        <v>857500</v>
      </c>
      <c r="U106" s="216">
        <v>3.2</v>
      </c>
      <c r="V106" s="217">
        <f>$C$1*T106/U106/100</f>
        <v>84410156.25</v>
      </c>
      <c r="W106" s="218"/>
      <c r="X106" s="218"/>
      <c r="Y106" s="219">
        <f>12*V106/U106^2/1000000</f>
        <v>98.918151855468736</v>
      </c>
      <c r="Z106" s="220">
        <f>V106/(W107+W108)*2</f>
        <v>1.6071380759859701</v>
      </c>
      <c r="AA106" s="221">
        <f>1/(1+0.5*(Z106+Z109+2/3*Z106*Z109)/(1+(Z106+Z109)/6))</f>
        <v>0.43318529612993173</v>
      </c>
      <c r="AB106" s="236">
        <f>Y106*AA106</f>
        <v>42.849888904136783</v>
      </c>
      <c r="AC106" s="237">
        <v>6</v>
      </c>
    </row>
    <row r="107" spans="1:29" ht="15" customHeight="1">
      <c r="A107" s="31"/>
      <c r="B107" s="234" t="s">
        <v>332</v>
      </c>
      <c r="C107" s="222">
        <f>'11.Riep. dim. travi e pil.'!$B$17</f>
        <v>30</v>
      </c>
      <c r="D107" s="202">
        <f>'11.Riep. dim. travi e pil.'!$C$17</f>
        <v>65</v>
      </c>
      <c r="E107" s="241">
        <f>C107*D107^3/12</f>
        <v>686562.5</v>
      </c>
      <c r="F107" s="203">
        <v>5.35</v>
      </c>
      <c r="G107" s="31"/>
      <c r="H107" s="223">
        <f>$C$1*E107/F107/100</f>
        <v>40423773.364485987</v>
      </c>
      <c r="I107" s="31"/>
      <c r="J107" s="31"/>
      <c r="K107" s="329" t="s">
        <v>364</v>
      </c>
      <c r="L107" s="31"/>
      <c r="M107" s="31"/>
      <c r="N107" s="32"/>
      <c r="Q107" s="234" t="s">
        <v>332</v>
      </c>
      <c r="R107" s="222">
        <f>'11.Riep. dim. travi e pil.'!$B$17</f>
        <v>30</v>
      </c>
      <c r="S107" s="202">
        <f>'11.Riep. dim. travi e pil.'!$C$17</f>
        <v>65</v>
      </c>
      <c r="T107" s="241">
        <f>R107*S107^3/12</f>
        <v>686562.5</v>
      </c>
      <c r="U107" s="203">
        <v>5</v>
      </c>
      <c r="V107" s="31"/>
      <c r="W107" s="223">
        <f>$C$1*T107/U107/100</f>
        <v>43253437.5</v>
      </c>
      <c r="X107" s="31"/>
      <c r="Y107" s="31"/>
      <c r="Z107" s="329" t="s">
        <v>364</v>
      </c>
      <c r="AA107" s="31"/>
      <c r="AB107" s="31"/>
      <c r="AC107" s="32"/>
    </row>
    <row r="108" spans="1:29">
      <c r="A108" s="241"/>
      <c r="B108" s="234" t="s">
        <v>333</v>
      </c>
      <c r="C108" s="222">
        <v>0</v>
      </c>
      <c r="D108" s="202">
        <f>IF(C108=0,0,'11.Riep. dim. travi e pil.'!$C$17)</f>
        <v>0</v>
      </c>
      <c r="E108" s="241">
        <f t="shared" ref="E108:E110" si="20">C108*D108^3/12</f>
        <v>0</v>
      </c>
      <c r="F108" s="207">
        <v>0</v>
      </c>
      <c r="G108" s="31"/>
      <c r="H108" s="223">
        <f>IF(C108=0,0,$C$1*E108/F108/100)</f>
        <v>0</v>
      </c>
      <c r="I108" s="31"/>
      <c r="J108" s="31"/>
      <c r="K108" s="329"/>
      <c r="L108" s="31"/>
      <c r="M108" s="31"/>
      <c r="N108" s="32"/>
      <c r="Q108" s="234" t="s">
        <v>333</v>
      </c>
      <c r="R108" s="222">
        <v>30</v>
      </c>
      <c r="S108" s="202">
        <f>IF(R108=0,0,'11.Riep. dim. travi e pil.'!$C$17)</f>
        <v>65</v>
      </c>
      <c r="T108" s="241">
        <f t="shared" ref="T108:T110" si="21">R108*S108^3/12</f>
        <v>686562.5</v>
      </c>
      <c r="U108" s="207">
        <v>3.5</v>
      </c>
      <c r="V108" s="31"/>
      <c r="W108" s="223">
        <f>IF(R108=0,0,$C$1*T108/U108/100)</f>
        <v>61790625</v>
      </c>
      <c r="X108" s="31"/>
      <c r="Y108" s="31"/>
      <c r="Z108" s="329"/>
      <c r="AA108" s="31"/>
      <c r="AB108" s="31"/>
      <c r="AC108" s="32"/>
    </row>
    <row r="109" spans="1:29">
      <c r="A109" s="31"/>
      <c r="B109" s="235" t="s">
        <v>371</v>
      </c>
      <c r="C109" s="222">
        <f>C107</f>
        <v>30</v>
      </c>
      <c r="D109" s="202">
        <f>IF(C109=0,0,'11.Riep. dim. travi e pil.'!$C$18)</f>
        <v>75</v>
      </c>
      <c r="E109" s="241">
        <f t="shared" si="20"/>
        <v>1054687.5</v>
      </c>
      <c r="F109" s="207"/>
      <c r="G109" s="31"/>
      <c r="H109" s="31"/>
      <c r="I109" s="225">
        <f>IF(C109=0,10^99,$C$1*E109/F107/100)</f>
        <v>62098422.897196263</v>
      </c>
      <c r="J109" s="31"/>
      <c r="K109" s="226">
        <f>G106/(I109+I110)*2</f>
        <v>2.7185925925925924</v>
      </c>
      <c r="L109" s="31"/>
      <c r="M109" s="31"/>
      <c r="N109" s="32"/>
      <c r="Q109" s="235" t="s">
        <v>371</v>
      </c>
      <c r="R109" s="222">
        <f>R107</f>
        <v>30</v>
      </c>
      <c r="S109" s="202">
        <f>IF(R109=0,0,'11.Riep. dim. travi e pil.'!$C$18)</f>
        <v>75</v>
      </c>
      <c r="T109" s="241">
        <f t="shared" si="21"/>
        <v>1054687.5</v>
      </c>
      <c r="U109" s="207"/>
      <c r="V109" s="31"/>
      <c r="W109" s="31"/>
      <c r="X109" s="225">
        <f>IF(R109=0,10^99,$C$1*T109/U107/100)</f>
        <v>66445312.5</v>
      </c>
      <c r="Y109" s="31"/>
      <c r="Z109" s="226">
        <f>V106/(X109+X110)*2</f>
        <v>1.0461873638344226</v>
      </c>
      <c r="AA109" s="31"/>
      <c r="AB109" s="31"/>
      <c r="AC109" s="32"/>
    </row>
    <row r="110" spans="1:29">
      <c r="A110" s="31"/>
      <c r="B110" s="235" t="s">
        <v>372</v>
      </c>
      <c r="C110" s="253">
        <f>C108</f>
        <v>0</v>
      </c>
      <c r="D110" s="254">
        <f>IF(C110=0,0,'11.Riep. dim. travi e pil.'!$C$18)</f>
        <v>0</v>
      </c>
      <c r="E110" s="41">
        <f t="shared" si="20"/>
        <v>0</v>
      </c>
      <c r="F110" s="255"/>
      <c r="G110" s="42"/>
      <c r="H110" s="42"/>
      <c r="I110" s="230">
        <f>IF(C110=0,0,$C$1*E110/F108/100)</f>
        <v>0</v>
      </c>
      <c r="J110" s="42"/>
      <c r="K110" s="42"/>
      <c r="L110" s="42"/>
      <c r="M110" s="42"/>
      <c r="N110" s="44"/>
      <c r="Q110" s="235" t="s">
        <v>372</v>
      </c>
      <c r="R110" s="253">
        <f>R108</f>
        <v>30</v>
      </c>
      <c r="S110" s="254">
        <f>IF(R110=0,0,'11.Riep. dim. travi e pil.'!$C$18)</f>
        <v>75</v>
      </c>
      <c r="T110" s="41">
        <f t="shared" si="21"/>
        <v>1054687.5</v>
      </c>
      <c r="U110" s="255"/>
      <c r="V110" s="42"/>
      <c r="W110" s="42"/>
      <c r="X110" s="230">
        <f>IF(R110=0,0,$C$1*T110/U108/100)</f>
        <v>94921875</v>
      </c>
      <c r="Y110" s="42"/>
      <c r="Z110" s="42"/>
      <c r="AA110" s="42"/>
      <c r="AB110" s="42"/>
      <c r="AC110" s="44"/>
    </row>
    <row r="111" spans="1:29">
      <c r="A111" s="31"/>
      <c r="B111" s="467" t="s">
        <v>318</v>
      </c>
      <c r="C111" s="468"/>
      <c r="D111" s="468"/>
      <c r="E111" s="468"/>
      <c r="F111" s="468"/>
      <c r="Q111" s="467" t="s">
        <v>385</v>
      </c>
      <c r="R111" s="468"/>
      <c r="S111" s="468"/>
      <c r="T111" s="468"/>
      <c r="U111" s="468"/>
    </row>
    <row r="112" spans="1:29" ht="15" customHeight="1">
      <c r="A112" s="241"/>
      <c r="B112" s="341"/>
      <c r="C112" s="469" t="s">
        <v>319</v>
      </c>
      <c r="D112" s="469" t="s">
        <v>323</v>
      </c>
      <c r="E112" s="429" t="s">
        <v>324</v>
      </c>
      <c r="F112" s="469" t="s">
        <v>325</v>
      </c>
      <c r="G112" s="429" t="s">
        <v>365</v>
      </c>
      <c r="H112" s="429" t="s">
        <v>366</v>
      </c>
      <c r="I112" s="429" t="s">
        <v>367</v>
      </c>
      <c r="J112" s="460" t="s">
        <v>368</v>
      </c>
      <c r="K112" s="429" t="s">
        <v>363</v>
      </c>
      <c r="L112" s="461" t="s">
        <v>369</v>
      </c>
      <c r="M112" s="463" t="s">
        <v>370</v>
      </c>
      <c r="N112" s="465" t="s">
        <v>320</v>
      </c>
      <c r="Q112" s="341"/>
      <c r="R112" s="469" t="s">
        <v>319</v>
      </c>
      <c r="S112" s="469" t="s">
        <v>323</v>
      </c>
      <c r="T112" s="429" t="s">
        <v>324</v>
      </c>
      <c r="U112" s="469" t="s">
        <v>325</v>
      </c>
      <c r="V112" s="429" t="s">
        <v>365</v>
      </c>
      <c r="W112" s="429" t="s">
        <v>366</v>
      </c>
      <c r="X112" s="429" t="s">
        <v>367</v>
      </c>
      <c r="Y112" s="460" t="s">
        <v>368</v>
      </c>
      <c r="Z112" s="429" t="s">
        <v>363</v>
      </c>
      <c r="AA112" s="461" t="s">
        <v>369</v>
      </c>
      <c r="AB112" s="463" t="s">
        <v>370</v>
      </c>
      <c r="AC112" s="465" t="s">
        <v>320</v>
      </c>
    </row>
    <row r="113" spans="1:29">
      <c r="A113" s="31"/>
      <c r="B113" s="341"/>
      <c r="C113" s="459"/>
      <c r="D113" s="459"/>
      <c r="E113" s="459"/>
      <c r="F113" s="459"/>
      <c r="G113" s="459"/>
      <c r="H113" s="459"/>
      <c r="I113" s="459"/>
      <c r="J113" s="459"/>
      <c r="K113" s="459"/>
      <c r="L113" s="462"/>
      <c r="M113" s="464"/>
      <c r="N113" s="466"/>
      <c r="Q113" s="341"/>
      <c r="R113" s="459"/>
      <c r="S113" s="459"/>
      <c r="T113" s="459"/>
      <c r="U113" s="459"/>
      <c r="V113" s="459"/>
      <c r="W113" s="459"/>
      <c r="X113" s="459"/>
      <c r="Y113" s="459"/>
      <c r="Z113" s="459"/>
      <c r="AA113" s="462"/>
      <c r="AB113" s="464"/>
      <c r="AC113" s="466"/>
    </row>
    <row r="114" spans="1:29">
      <c r="A114" s="31"/>
      <c r="B114" s="87" t="s">
        <v>314</v>
      </c>
      <c r="C114" s="213">
        <f>'11.Riep. dim. travi e pil.'!$B$7</f>
        <v>30</v>
      </c>
      <c r="D114" s="214">
        <f>'11.Riep. dim. travi e pil.'!$C$7</f>
        <v>70</v>
      </c>
      <c r="E114" s="215">
        <f>C114*D114^3/12</f>
        <v>857500</v>
      </c>
      <c r="F114" s="216">
        <v>3.2</v>
      </c>
      <c r="G114" s="217">
        <f>$C$1*E114/F114/100</f>
        <v>84410156.25</v>
      </c>
      <c r="H114" s="218"/>
      <c r="I114" s="218"/>
      <c r="J114" s="219">
        <f>12*G114/F114^2/1000000</f>
        <v>98.918151855468736</v>
      </c>
      <c r="K114" s="220">
        <f>G114/(H115+H116)*2</f>
        <v>2.0223372781065088</v>
      </c>
      <c r="L114" s="221">
        <f>1/(1+0.5*(K114+K117+2/3*K114*K117)/(1+(K114+K117)/6))</f>
        <v>0.37839723147288301</v>
      </c>
      <c r="M114" s="236">
        <f>J114*L114</f>
        <v>37.430354804523596</v>
      </c>
      <c r="N114" s="237">
        <v>2</v>
      </c>
      <c r="Q114" s="87" t="s">
        <v>314</v>
      </c>
      <c r="R114" s="213">
        <f>'11.Riep. dim. travi e pil.'!$C$7</f>
        <v>70</v>
      </c>
      <c r="S114" s="214">
        <f>'11.Riep. dim. travi e pil.'!$B$7</f>
        <v>30</v>
      </c>
      <c r="T114" s="215">
        <f>R114*S114^3/12</f>
        <v>157500</v>
      </c>
      <c r="U114" s="216">
        <v>3.2</v>
      </c>
      <c r="V114" s="217">
        <f>$C$1*T114/U114/100</f>
        <v>15503906.25</v>
      </c>
      <c r="W114" s="218"/>
      <c r="X114" s="218"/>
      <c r="Y114" s="219">
        <f>12*V114/U114^2/1000000</f>
        <v>18.168640136718746</v>
      </c>
      <c r="Z114" s="220">
        <f>V114/(W115+W116)*2</f>
        <v>6.1831474738279475</v>
      </c>
      <c r="AA114" s="221">
        <f>1/(1+0.5*(Z114+Z117+2/3*Z114*Z117)/(1+(Z114+Z117)/6))</f>
        <v>0.1392147388931573</v>
      </c>
      <c r="AB114" s="236">
        <f>Y114*AA114</f>
        <v>2.529342492677038</v>
      </c>
      <c r="AC114" s="237">
        <v>6</v>
      </c>
    </row>
    <row r="115" spans="1:29">
      <c r="A115" s="31"/>
      <c r="B115" s="234" t="s">
        <v>332</v>
      </c>
      <c r="C115" s="222">
        <f>'11.Riep. dim. travi e pil.'!$B$17</f>
        <v>30</v>
      </c>
      <c r="D115" s="202">
        <f>'11.Riep. dim. travi e pil.'!$C$17</f>
        <v>65</v>
      </c>
      <c r="E115" s="241">
        <f>C115*D115^3/12</f>
        <v>686562.5</v>
      </c>
      <c r="F115" s="203">
        <v>5.85</v>
      </c>
      <c r="G115" s="31"/>
      <c r="H115" s="223">
        <f>$C$1*E115/F115/100</f>
        <v>36968750</v>
      </c>
      <c r="I115" s="31"/>
      <c r="J115" s="31"/>
      <c r="K115" s="329" t="s">
        <v>364</v>
      </c>
      <c r="L115" s="31"/>
      <c r="M115" s="31"/>
      <c r="N115" s="32"/>
      <c r="Q115" s="234" t="s">
        <v>332</v>
      </c>
      <c r="R115" s="222">
        <f>'11.Riep. dim. travi e pil.'!$D$17</f>
        <v>50</v>
      </c>
      <c r="S115" s="202">
        <f>'11.Riep. dim. travi e pil.'!$E$17</f>
        <v>26</v>
      </c>
      <c r="T115" s="241">
        <f>R115*S115^3/12</f>
        <v>73233.333333333328</v>
      </c>
      <c r="U115" s="203">
        <v>4.5999999999999996</v>
      </c>
      <c r="V115" s="31"/>
      <c r="W115" s="223">
        <f>$C$1*T115/U115/100</f>
        <v>5014891.3043478262</v>
      </c>
      <c r="X115" s="31"/>
      <c r="Y115" s="31"/>
      <c r="Z115" s="329" t="s">
        <v>364</v>
      </c>
      <c r="AA115" s="31"/>
      <c r="AB115" s="31"/>
      <c r="AC115" s="32"/>
    </row>
    <row r="116" spans="1:29">
      <c r="A116" s="243"/>
      <c r="B116" s="234" t="s">
        <v>333</v>
      </c>
      <c r="C116" s="222">
        <v>30</v>
      </c>
      <c r="D116" s="202">
        <f>IF(C116=0,0,'11.Riep. dim. travi e pil.'!$C$17)</f>
        <v>65</v>
      </c>
      <c r="E116" s="241">
        <f t="shared" ref="E116:E118" si="22">C116*D116^3/12</f>
        <v>686562.5</v>
      </c>
      <c r="F116" s="207">
        <v>4.6500000000000004</v>
      </c>
      <c r="G116" s="31"/>
      <c r="H116" s="223">
        <f>IF(C116=0,0,$C$1*E116/F116/100)</f>
        <v>46509072.580645159</v>
      </c>
      <c r="I116" s="31"/>
      <c r="J116" s="31"/>
      <c r="K116" s="329"/>
      <c r="L116" s="31"/>
      <c r="M116" s="31"/>
      <c r="N116" s="32"/>
      <c r="Q116" s="234" t="s">
        <v>333</v>
      </c>
      <c r="R116" s="222">
        <v>0</v>
      </c>
      <c r="S116" s="202">
        <f>IF(R116=0,0,'11.Riep. dim. travi e pil.'!$E$17)</f>
        <v>0</v>
      </c>
      <c r="T116" s="241">
        <f t="shared" ref="T116:T118" si="23">R116*S116^3/12</f>
        <v>0</v>
      </c>
      <c r="U116" s="207">
        <v>0</v>
      </c>
      <c r="V116" s="31"/>
      <c r="W116" s="223">
        <f>IF(R116=0,0,$C$1*T116/U116/100)</f>
        <v>0</v>
      </c>
      <c r="X116" s="31"/>
      <c r="Y116" s="31"/>
      <c r="Z116" s="329"/>
      <c r="AA116" s="31"/>
      <c r="AB116" s="31"/>
      <c r="AC116" s="32"/>
    </row>
    <row r="117" spans="1:29">
      <c r="A117" s="31"/>
      <c r="B117" s="235" t="s">
        <v>371</v>
      </c>
      <c r="C117" s="222">
        <f>C115</f>
        <v>30</v>
      </c>
      <c r="D117" s="202">
        <f>IF(C117=0,0,'11.Riep. dim. travi e pil.'!$C$18)</f>
        <v>75</v>
      </c>
      <c r="E117" s="241">
        <f t="shared" si="22"/>
        <v>1054687.5</v>
      </c>
      <c r="F117" s="207"/>
      <c r="G117" s="31"/>
      <c r="H117" s="31"/>
      <c r="I117" s="225">
        <f>IF(C117=0,10^99,$C$1*E117/F115/100)</f>
        <v>56790865.384615391</v>
      </c>
      <c r="J117" s="31"/>
      <c r="K117" s="226">
        <f>G114/(I117+I118)*2</f>
        <v>1.3164666666666667</v>
      </c>
      <c r="L117" s="31"/>
      <c r="M117" s="31"/>
      <c r="N117" s="32"/>
      <c r="Q117" s="235" t="s">
        <v>371</v>
      </c>
      <c r="R117" s="222">
        <f>'11.Riep. dim. travi e pil.'!$D$18</f>
        <v>50</v>
      </c>
      <c r="S117" s="202">
        <f>IF(R117=0,0,'11.Riep. dim. travi e pil.'!$E$18)</f>
        <v>26</v>
      </c>
      <c r="T117" s="241">
        <f t="shared" si="23"/>
        <v>73233.333333333328</v>
      </c>
      <c r="U117" s="207"/>
      <c r="V117" s="31"/>
      <c r="W117" s="31"/>
      <c r="X117" s="225">
        <f>IF(R117=0,10^99,$C$1*T117/U115/100)</f>
        <v>5014891.3043478262</v>
      </c>
      <c r="Y117" s="31"/>
      <c r="Z117" s="226">
        <f>V114/(X117+X118)*2</f>
        <v>6.1831474738279475</v>
      </c>
      <c r="AA117" s="31"/>
      <c r="AB117" s="31"/>
      <c r="AC117" s="32"/>
    </row>
    <row r="118" spans="1:29">
      <c r="A118" s="31"/>
      <c r="B118" s="235" t="s">
        <v>372</v>
      </c>
      <c r="C118" s="253">
        <f>C116</f>
        <v>30</v>
      </c>
      <c r="D118" s="254">
        <f>IF(C118=0,0,'11.Riep. dim. travi e pil.'!$C$18)</f>
        <v>75</v>
      </c>
      <c r="E118" s="41">
        <f t="shared" si="22"/>
        <v>1054687.5</v>
      </c>
      <c r="F118" s="255"/>
      <c r="G118" s="42"/>
      <c r="H118" s="42"/>
      <c r="I118" s="230">
        <f>IF(C118=0,0,$C$1*E118/F116/100)</f>
        <v>71446572.580645144</v>
      </c>
      <c r="J118" s="42"/>
      <c r="K118" s="42"/>
      <c r="L118" s="42"/>
      <c r="M118" s="42"/>
      <c r="N118" s="44"/>
      <c r="Q118" s="235" t="s">
        <v>372</v>
      </c>
      <c r="R118" s="253">
        <f>R116</f>
        <v>0</v>
      </c>
      <c r="S118" s="254">
        <f>IF(R118=0,0,'11.Riep. dim. travi e pil.'!$E$18)</f>
        <v>0</v>
      </c>
      <c r="T118" s="41">
        <f t="shared" si="23"/>
        <v>0</v>
      </c>
      <c r="U118" s="255"/>
      <c r="V118" s="42"/>
      <c r="W118" s="42"/>
      <c r="X118" s="230">
        <f>IF(R118=0,0,$C$1*T118/U116/100)</f>
        <v>0</v>
      </c>
      <c r="Y118" s="42"/>
      <c r="Z118" s="42"/>
      <c r="AA118" s="42"/>
      <c r="AB118" s="42"/>
      <c r="AC118" s="44"/>
    </row>
    <row r="119" spans="1:29" ht="15.75" customHeight="1">
      <c r="A119" s="31"/>
      <c r="B119" s="467" t="s">
        <v>382</v>
      </c>
      <c r="C119" s="468"/>
      <c r="D119" s="468"/>
      <c r="E119" s="468"/>
      <c r="F119" s="468"/>
      <c r="Q119" s="467" t="s">
        <v>386</v>
      </c>
      <c r="R119" s="468"/>
      <c r="S119" s="468"/>
      <c r="T119" s="468"/>
      <c r="U119" s="468"/>
    </row>
    <row r="120" spans="1:29">
      <c r="A120" s="243"/>
      <c r="B120" s="341"/>
      <c r="C120" s="469" t="s">
        <v>319</v>
      </c>
      <c r="D120" s="469" t="s">
        <v>323</v>
      </c>
      <c r="E120" s="429" t="s">
        <v>324</v>
      </c>
      <c r="F120" s="469" t="s">
        <v>325</v>
      </c>
      <c r="G120" s="429" t="s">
        <v>365</v>
      </c>
      <c r="H120" s="429" t="s">
        <v>366</v>
      </c>
      <c r="I120" s="429" t="s">
        <v>367</v>
      </c>
      <c r="J120" s="460" t="s">
        <v>368</v>
      </c>
      <c r="K120" s="429" t="s">
        <v>363</v>
      </c>
      <c r="L120" s="461" t="s">
        <v>369</v>
      </c>
      <c r="M120" s="463" t="s">
        <v>370</v>
      </c>
      <c r="N120" s="465" t="s">
        <v>320</v>
      </c>
      <c r="Q120" s="341"/>
      <c r="R120" s="469" t="s">
        <v>319</v>
      </c>
      <c r="S120" s="469" t="s">
        <v>323</v>
      </c>
      <c r="T120" s="429" t="s">
        <v>324</v>
      </c>
      <c r="U120" s="469" t="s">
        <v>325</v>
      </c>
      <c r="V120" s="429" t="s">
        <v>365</v>
      </c>
      <c r="W120" s="429" t="s">
        <v>366</v>
      </c>
      <c r="X120" s="429" t="s">
        <v>367</v>
      </c>
      <c r="Y120" s="460" t="s">
        <v>368</v>
      </c>
      <c r="Z120" s="429" t="s">
        <v>363</v>
      </c>
      <c r="AA120" s="461" t="s">
        <v>369</v>
      </c>
      <c r="AB120" s="463" t="s">
        <v>370</v>
      </c>
      <c r="AC120" s="465" t="s">
        <v>320</v>
      </c>
    </row>
    <row r="121" spans="1:29">
      <c r="A121" s="31"/>
      <c r="B121" s="341"/>
      <c r="C121" s="459"/>
      <c r="D121" s="459"/>
      <c r="E121" s="459"/>
      <c r="F121" s="459"/>
      <c r="G121" s="459"/>
      <c r="H121" s="459"/>
      <c r="I121" s="459"/>
      <c r="J121" s="459"/>
      <c r="K121" s="459"/>
      <c r="L121" s="462"/>
      <c r="M121" s="464"/>
      <c r="N121" s="466"/>
      <c r="Q121" s="341"/>
      <c r="R121" s="459"/>
      <c r="S121" s="459"/>
      <c r="T121" s="459"/>
      <c r="U121" s="459"/>
      <c r="V121" s="459"/>
      <c r="W121" s="459"/>
      <c r="X121" s="459"/>
      <c r="Y121" s="459"/>
      <c r="Z121" s="459"/>
      <c r="AA121" s="462"/>
      <c r="AB121" s="464"/>
      <c r="AC121" s="466"/>
    </row>
    <row r="122" spans="1:29">
      <c r="A122" s="31"/>
      <c r="B122" s="87" t="s">
        <v>314</v>
      </c>
      <c r="C122" s="213">
        <f>'11.Riep. dim. travi e pil.'!$C$7</f>
        <v>70</v>
      </c>
      <c r="D122" s="214">
        <f>'11.Riep. dim. travi e pil.'!$B$7</f>
        <v>30</v>
      </c>
      <c r="E122" s="215">
        <f>C122*D122^3/12</f>
        <v>157500</v>
      </c>
      <c r="F122" s="216">
        <v>3.2</v>
      </c>
      <c r="G122" s="217">
        <f>$C$1*E122/F122/100</f>
        <v>15503906.25</v>
      </c>
      <c r="H122" s="218"/>
      <c r="I122" s="218"/>
      <c r="J122" s="219">
        <f>12*G122/F122^2/1000000</f>
        <v>18.168640136718746</v>
      </c>
      <c r="K122" s="220">
        <f>G122/(H123+H124)*2</f>
        <v>0.71688666363222575</v>
      </c>
      <c r="L122" s="221">
        <f>1/(1+0.5*(K122+K125+2/3*K122*K125)/(1+(K122+K125)/6))</f>
        <v>0.62995348540165397</v>
      </c>
      <c r="M122" s="236">
        <f>J122*L122</f>
        <v>11.445398179134358</v>
      </c>
      <c r="N122" s="237">
        <v>16</v>
      </c>
      <c r="Q122" s="87" t="s">
        <v>314</v>
      </c>
      <c r="R122" s="213">
        <f>'11.Riep. dim. travi e pil.'!$C$7</f>
        <v>70</v>
      </c>
      <c r="S122" s="214">
        <f>'11.Riep. dim. travi e pil.'!$B$7</f>
        <v>30</v>
      </c>
      <c r="T122" s="215">
        <f>R122*S122^3/12</f>
        <v>157500</v>
      </c>
      <c r="U122" s="216">
        <v>3.2</v>
      </c>
      <c r="V122" s="217">
        <f>$C$1*T122/U122/100</f>
        <v>15503906.25</v>
      </c>
      <c r="W122" s="218"/>
      <c r="X122" s="218"/>
      <c r="Y122" s="219">
        <f>12*V122/U122^2/1000000</f>
        <v>18.168640136718746</v>
      </c>
      <c r="Z122" s="220">
        <f>V122/(W123+W124)*2</f>
        <v>2.0162437414656349</v>
      </c>
      <c r="AA122" s="221">
        <f>1/(1+0.5*(Z122+Z125+2/3*Z122*Z125)/(1+(Z122+Z125)/6))</f>
        <v>0.33153819310175714</v>
      </c>
      <c r="AB122" s="236">
        <f>Y122*AA122</f>
        <v>6.0235981220437953</v>
      </c>
      <c r="AC122" s="237">
        <v>2</v>
      </c>
    </row>
    <row r="123" spans="1:29">
      <c r="A123" s="257"/>
      <c r="B123" s="234" t="s">
        <v>332</v>
      </c>
      <c r="C123" s="222">
        <f>'11.Riep. dim. travi e pil.'!$B$17</f>
        <v>30</v>
      </c>
      <c r="D123" s="202">
        <f>'11.Riep. dim. travi e pil.'!$C$17</f>
        <v>65</v>
      </c>
      <c r="E123" s="241">
        <f>C123*D123^3/12</f>
        <v>686562.5</v>
      </c>
      <c r="F123" s="203">
        <v>5</v>
      </c>
      <c r="G123" s="31"/>
      <c r="H123" s="223">
        <f>$C$1*E123/F123/100</f>
        <v>43253437.5</v>
      </c>
      <c r="I123" s="31"/>
      <c r="J123" s="31"/>
      <c r="K123" s="329" t="s">
        <v>364</v>
      </c>
      <c r="L123" s="31"/>
      <c r="M123" s="31"/>
      <c r="N123" s="32"/>
      <c r="Q123" s="234" t="s">
        <v>332</v>
      </c>
      <c r="R123" s="222">
        <f>'11.Riep. dim. travi e pil.'!$D$17</f>
        <v>50</v>
      </c>
      <c r="S123" s="202">
        <f>'11.Riep. dim. travi e pil.'!$E$17</f>
        <v>26</v>
      </c>
      <c r="T123" s="241">
        <f>R123*S123^3/12</f>
        <v>73233.333333333328</v>
      </c>
      <c r="U123" s="203">
        <v>4.2</v>
      </c>
      <c r="V123" s="31"/>
      <c r="W123" s="223">
        <f>$C$1*T123/U123/100</f>
        <v>5492500</v>
      </c>
      <c r="X123" s="31"/>
      <c r="Y123" s="31"/>
      <c r="Z123" s="329" t="s">
        <v>364</v>
      </c>
      <c r="AA123" s="31"/>
      <c r="AB123" s="31"/>
      <c r="AC123" s="32"/>
    </row>
    <row r="124" spans="1:29">
      <c r="A124" s="258"/>
      <c r="B124" s="234" t="s">
        <v>333</v>
      </c>
      <c r="C124" s="222">
        <v>0</v>
      </c>
      <c r="D124" s="202">
        <f>IF(C124=0,0,'11.Riep. dim. travi e pil.'!$C$17)</f>
        <v>0</v>
      </c>
      <c r="E124" s="241">
        <f t="shared" ref="E124:E126" si="24">C124*D124^3/12</f>
        <v>0</v>
      </c>
      <c r="F124" s="207">
        <v>0</v>
      </c>
      <c r="G124" s="31"/>
      <c r="H124" s="223">
        <f>IF(C124=0,0,$C$1*E124/F124/100)</f>
        <v>0</v>
      </c>
      <c r="I124" s="31"/>
      <c r="J124" s="31"/>
      <c r="K124" s="329"/>
      <c r="L124" s="31"/>
      <c r="M124" s="31"/>
      <c r="N124" s="32"/>
      <c r="Q124" s="234" t="s">
        <v>333</v>
      </c>
      <c r="R124" s="222">
        <v>60</v>
      </c>
      <c r="S124" s="202">
        <f>IF(R124=0,0,'11.Riep. dim. travi e pil.'!$E$17)</f>
        <v>26</v>
      </c>
      <c r="T124" s="241">
        <f t="shared" ref="T124:T126" si="25">R124*S124^3/12</f>
        <v>87880</v>
      </c>
      <c r="U124" s="207">
        <v>2.8</v>
      </c>
      <c r="V124" s="31"/>
      <c r="W124" s="223">
        <f>IF(R124=0,0,$C$1*T124/U124/100)</f>
        <v>9886500.0000000019</v>
      </c>
      <c r="X124" s="31"/>
      <c r="Y124" s="31"/>
      <c r="Z124" s="329"/>
      <c r="AA124" s="31"/>
      <c r="AB124" s="31"/>
      <c r="AC124" s="32"/>
    </row>
    <row r="125" spans="1:29">
      <c r="B125" s="235" t="s">
        <v>371</v>
      </c>
      <c r="C125" s="222">
        <f>C123</f>
        <v>30</v>
      </c>
      <c r="D125" s="202">
        <f>IF(C125=0,0,'11.Riep. dim. travi e pil.'!$C$18)</f>
        <v>75</v>
      </c>
      <c r="E125" s="241">
        <f t="shared" si="24"/>
        <v>1054687.5</v>
      </c>
      <c r="F125" s="207"/>
      <c r="G125" s="31"/>
      <c r="H125" s="31"/>
      <c r="I125" s="225">
        <f>IF(C125=0,10^99,$C$1*E125/F123/100)</f>
        <v>66445312.5</v>
      </c>
      <c r="J125" s="31"/>
      <c r="K125" s="226">
        <f>G122/(I125+I126)*2</f>
        <v>0.46666666666666667</v>
      </c>
      <c r="L125" s="31"/>
      <c r="M125" s="31"/>
      <c r="N125" s="32"/>
      <c r="Q125" s="235" t="s">
        <v>371</v>
      </c>
      <c r="R125" s="222">
        <f>'11.Riep. dim. travi e pil.'!$D$18</f>
        <v>50</v>
      </c>
      <c r="S125" s="202">
        <f>IF(R125=0,0,'11.Riep. dim. travi e pil.'!$E$18)</f>
        <v>26</v>
      </c>
      <c r="T125" s="241">
        <f t="shared" si="25"/>
        <v>73233.333333333328</v>
      </c>
      <c r="U125" s="207"/>
      <c r="V125" s="31"/>
      <c r="W125" s="31"/>
      <c r="X125" s="225">
        <f>IF(R125=0,10^99,$C$1*T125/U123/100)</f>
        <v>5492500</v>
      </c>
      <c r="Y125" s="31"/>
      <c r="Z125" s="226">
        <f>V122/(X125+X126)*2</f>
        <v>2.0162437414656349</v>
      </c>
      <c r="AA125" s="31"/>
      <c r="AB125" s="31"/>
      <c r="AC125" s="32"/>
    </row>
    <row r="126" spans="1:29" ht="15.75" thickBot="1">
      <c r="B126" s="235" t="s">
        <v>372</v>
      </c>
      <c r="C126" s="253">
        <f>C124</f>
        <v>0</v>
      </c>
      <c r="D126" s="254">
        <f>IF(C126=0,0,'11.Riep. dim. travi e pil.'!$C$18)</f>
        <v>0</v>
      </c>
      <c r="E126" s="41">
        <f t="shared" si="24"/>
        <v>0</v>
      </c>
      <c r="F126" s="255"/>
      <c r="G126" s="42"/>
      <c r="H126" s="42"/>
      <c r="I126" s="230">
        <f>IF(C126=0,0,$C$1*E126/F124/100)</f>
        <v>0</v>
      </c>
      <c r="J126" s="42"/>
      <c r="K126" s="42"/>
      <c r="L126" s="42"/>
      <c r="M126" s="42"/>
      <c r="N126" s="44"/>
      <c r="Q126" s="235" t="s">
        <v>372</v>
      </c>
      <c r="R126" s="253">
        <f>R124</f>
        <v>60</v>
      </c>
      <c r="S126" s="254">
        <f>IF(R126=0,0,'11.Riep. dim. travi e pil.'!$E$18)</f>
        <v>26</v>
      </c>
      <c r="T126" s="41">
        <f t="shared" si="25"/>
        <v>87880</v>
      </c>
      <c r="U126" s="255"/>
      <c r="V126" s="42"/>
      <c r="W126" s="42"/>
      <c r="X126" s="230">
        <f>IF(R126=0,0,$C$1*T126/U124/100)</f>
        <v>9886500.0000000019</v>
      </c>
      <c r="Y126" s="42"/>
      <c r="Z126" s="42"/>
      <c r="AA126" s="42"/>
      <c r="AB126" s="42"/>
      <c r="AC126" s="44"/>
    </row>
    <row r="127" spans="1:29" ht="19.5" thickBot="1">
      <c r="B127" s="455" t="s">
        <v>133</v>
      </c>
      <c r="C127" s="456"/>
      <c r="D127" s="456"/>
      <c r="E127" s="456"/>
      <c r="F127" s="456"/>
      <c r="M127" s="248">
        <f>M98*N98+M106*N106+M114*N114+M122*N122</f>
        <v>634.49193909819587</v>
      </c>
      <c r="N127" s="181" t="s">
        <v>326</v>
      </c>
      <c r="Q127" s="467" t="s">
        <v>382</v>
      </c>
      <c r="R127" s="468"/>
      <c r="S127" s="468"/>
      <c r="T127" s="468"/>
      <c r="U127" s="468"/>
    </row>
    <row r="128" spans="1:29" ht="15.75">
      <c r="A128" s="259"/>
      <c r="B128" s="457" t="s">
        <v>328</v>
      </c>
      <c r="C128" s="458"/>
      <c r="D128" s="458"/>
      <c r="E128" s="458"/>
      <c r="F128" s="458"/>
      <c r="G128" s="458"/>
      <c r="H128" s="42"/>
      <c r="I128" s="42"/>
      <c r="J128" s="42"/>
      <c r="K128" s="42"/>
      <c r="L128" s="42"/>
      <c r="M128" s="42"/>
      <c r="N128" s="182">
        <f>M127/M98</f>
        <v>13.001007689566894</v>
      </c>
      <c r="Q128" s="341"/>
      <c r="R128" s="469" t="s">
        <v>319</v>
      </c>
      <c r="S128" s="469" t="s">
        <v>323</v>
      </c>
      <c r="T128" s="429" t="s">
        <v>324</v>
      </c>
      <c r="U128" s="469" t="s">
        <v>325</v>
      </c>
      <c r="V128" s="429" t="s">
        <v>365</v>
      </c>
      <c r="W128" s="429" t="s">
        <v>366</v>
      </c>
      <c r="X128" s="429" t="s">
        <v>367</v>
      </c>
      <c r="Y128" s="460" t="s">
        <v>368</v>
      </c>
      <c r="Z128" s="429" t="s">
        <v>363</v>
      </c>
      <c r="AA128" s="461" t="s">
        <v>369</v>
      </c>
      <c r="AB128" s="463" t="s">
        <v>370</v>
      </c>
      <c r="AC128" s="465" t="s">
        <v>320</v>
      </c>
    </row>
    <row r="129" spans="1:29">
      <c r="A129" s="31"/>
      <c r="Q129" s="341"/>
      <c r="R129" s="459"/>
      <c r="S129" s="459"/>
      <c r="T129" s="459"/>
      <c r="U129" s="459"/>
      <c r="V129" s="459"/>
      <c r="W129" s="459"/>
      <c r="X129" s="459"/>
      <c r="Y129" s="459"/>
      <c r="Z129" s="459"/>
      <c r="AA129" s="462"/>
      <c r="AB129" s="464"/>
      <c r="AC129" s="466"/>
    </row>
    <row r="130" spans="1:29" ht="15" customHeight="1">
      <c r="A130" s="245"/>
      <c r="Q130" s="87" t="s">
        <v>314</v>
      </c>
      <c r="R130" s="213">
        <f>'11.Riep. dim. travi e pil.'!$C$7</f>
        <v>70</v>
      </c>
      <c r="S130" s="214">
        <f>'11.Riep. dim. travi e pil.'!$B$7</f>
        <v>30</v>
      </c>
      <c r="T130" s="215">
        <f>R130*S130^3/12</f>
        <v>157500</v>
      </c>
      <c r="U130" s="216">
        <v>3.2</v>
      </c>
      <c r="V130" s="217">
        <f>$C$1*T130/U130/100</f>
        <v>15503906.25</v>
      </c>
      <c r="W130" s="218"/>
      <c r="X130" s="218"/>
      <c r="Y130" s="219">
        <f>12*V130/U130^2/1000000</f>
        <v>18.168640136718746</v>
      </c>
      <c r="Z130" s="220">
        <f>V130/(W131+W132)*2</f>
        <v>0.55917159763313606</v>
      </c>
      <c r="AA130" s="221">
        <f>1/(1+0.5*(Z130+Z133+2/3*Z130*Z133)/(1+(Z130+Z133)/6))</f>
        <v>0.68547859812755585</v>
      </c>
      <c r="AB130" s="236">
        <f>Y130*AA130</f>
        <v>12.454213970802011</v>
      </c>
      <c r="AC130" s="237">
        <v>6</v>
      </c>
    </row>
    <row r="131" spans="1:29">
      <c r="A131" s="245"/>
      <c r="Q131" s="234" t="s">
        <v>332</v>
      </c>
      <c r="R131" s="222">
        <f>'11.Riep. dim. travi e pil.'!$B$17</f>
        <v>30</v>
      </c>
      <c r="S131" s="202">
        <f>'11.Riep. dim. travi e pil.'!$C$17</f>
        <v>65</v>
      </c>
      <c r="T131" s="241">
        <f>R131*S131^3/12</f>
        <v>686562.5</v>
      </c>
      <c r="U131" s="203">
        <v>3.9</v>
      </c>
      <c r="V131" s="31"/>
      <c r="W131" s="223">
        <f>$C$1*T131/U131/100</f>
        <v>55453125</v>
      </c>
      <c r="X131" s="31"/>
      <c r="Y131" s="31"/>
      <c r="Z131" s="329" t="s">
        <v>364</v>
      </c>
      <c r="AA131" s="31"/>
      <c r="AB131" s="31"/>
      <c r="AC131" s="32"/>
    </row>
    <row r="132" spans="1:29">
      <c r="A132" s="241"/>
      <c r="Q132" s="234" t="s">
        <v>333</v>
      </c>
      <c r="R132" s="222">
        <v>0</v>
      </c>
      <c r="S132" s="202">
        <f>IF(R132=0,0,'11.Riep. dim. travi e pil.'!$C$17)</f>
        <v>0</v>
      </c>
      <c r="T132" s="241">
        <f t="shared" ref="T132:T134" si="26">R132*S132^3/12</f>
        <v>0</v>
      </c>
      <c r="U132" s="207">
        <v>0</v>
      </c>
      <c r="V132" s="31"/>
      <c r="W132" s="223">
        <f>IF(R132=0,0,$C$1*T132/U132/100)</f>
        <v>0</v>
      </c>
      <c r="X132" s="31"/>
      <c r="Y132" s="31"/>
      <c r="Z132" s="329"/>
      <c r="AA132" s="31"/>
      <c r="AB132" s="31"/>
      <c r="AC132" s="32"/>
    </row>
    <row r="133" spans="1:29">
      <c r="A133" s="31"/>
      <c r="Q133" s="235" t="s">
        <v>371</v>
      </c>
      <c r="R133" s="222">
        <f>R131</f>
        <v>30</v>
      </c>
      <c r="S133" s="202">
        <f>IF(R133=0,0,'11.Riep. dim. travi e pil.'!$C$18)</f>
        <v>75</v>
      </c>
      <c r="T133" s="241">
        <f t="shared" si="26"/>
        <v>1054687.5</v>
      </c>
      <c r="U133" s="207"/>
      <c r="V133" s="31"/>
      <c r="W133" s="31"/>
      <c r="X133" s="225">
        <f>IF(R133=0,10^99,$C$1*T133/U131/100)</f>
        <v>85186298.076923072</v>
      </c>
      <c r="Y133" s="31"/>
      <c r="Z133" s="226">
        <f>V130/(X133+X134)*2</f>
        <v>0.36400000000000005</v>
      </c>
      <c r="AA133" s="31"/>
      <c r="AB133" s="31"/>
      <c r="AC133" s="32"/>
    </row>
    <row r="134" spans="1:29" ht="15.75" thickBot="1">
      <c r="A134" s="31"/>
      <c r="Q134" s="235" t="s">
        <v>372</v>
      </c>
      <c r="R134" s="253">
        <f>R132</f>
        <v>0</v>
      </c>
      <c r="S134" s="254">
        <f>IF(R134=0,0,'11.Riep. dim. travi e pil.'!$C$18)</f>
        <v>0</v>
      </c>
      <c r="T134" s="41">
        <f t="shared" si="26"/>
        <v>0</v>
      </c>
      <c r="U134" s="255"/>
      <c r="V134" s="42"/>
      <c r="W134" s="42"/>
      <c r="X134" s="230">
        <f>IF(R134=0,0,$C$1*T134/U132/100)</f>
        <v>0</v>
      </c>
      <c r="Y134" s="42"/>
      <c r="Z134" s="42"/>
      <c r="AA134" s="42"/>
      <c r="AB134" s="42"/>
      <c r="AC134" s="44"/>
    </row>
    <row r="135" spans="1:29" ht="19.5" thickBot="1">
      <c r="A135" s="31"/>
      <c r="Q135" s="455" t="s">
        <v>133</v>
      </c>
      <c r="R135" s="456"/>
      <c r="S135" s="456"/>
      <c r="T135" s="456"/>
      <c r="U135" s="456"/>
      <c r="AB135" s="248">
        <f>AB98*AC98+AB106*AC106+AB114*AC114+AB130*AC130+AB122*AC122</f>
        <v>658.27523565226886</v>
      </c>
      <c r="AC135" s="181" t="s">
        <v>326</v>
      </c>
    </row>
    <row r="136" spans="1:29" ht="15.75">
      <c r="A136" s="241"/>
      <c r="Q136" s="457" t="s">
        <v>328</v>
      </c>
      <c r="R136" s="458"/>
      <c r="S136" s="458"/>
      <c r="T136" s="458"/>
      <c r="U136" s="458"/>
      <c r="V136" s="458"/>
      <c r="W136" s="42"/>
      <c r="X136" s="42"/>
      <c r="Y136" s="42"/>
      <c r="Z136" s="42"/>
      <c r="AA136" s="42"/>
      <c r="AB136" s="42"/>
      <c r="AC136" s="182">
        <f>AB135/AB106</f>
        <v>15.362355714035891</v>
      </c>
    </row>
    <row r="137" spans="1:29">
      <c r="A137" s="31"/>
    </row>
    <row r="138" spans="1:29">
      <c r="A138" s="31"/>
    </row>
    <row r="139" spans="1:29" ht="15" customHeight="1">
      <c r="A139" s="31"/>
      <c r="B139" s="180" t="s">
        <v>327</v>
      </c>
      <c r="C139" s="264" t="s">
        <v>14</v>
      </c>
    </row>
    <row r="140" spans="1:29" ht="15" customHeight="1">
      <c r="A140" s="241"/>
      <c r="B140" s="474" t="s">
        <v>321</v>
      </c>
      <c r="C140" s="475"/>
      <c r="D140" s="475"/>
      <c r="E140" s="475"/>
      <c r="F140" s="475"/>
      <c r="G140" s="475"/>
      <c r="H140" s="475"/>
      <c r="I140" s="475"/>
      <c r="J140" s="475"/>
      <c r="K140" s="475"/>
      <c r="L140" s="475"/>
      <c r="M140" s="476"/>
      <c r="Q140" s="474" t="s">
        <v>329</v>
      </c>
      <c r="R140" s="475"/>
      <c r="S140" s="475"/>
      <c r="T140" s="475"/>
      <c r="U140" s="475"/>
      <c r="V140" s="475"/>
      <c r="W140" s="475"/>
      <c r="X140" s="475"/>
      <c r="Y140" s="475"/>
      <c r="Z140" s="475"/>
      <c r="AA140" s="475"/>
      <c r="AB140" s="476"/>
    </row>
    <row r="141" spans="1:29">
      <c r="A141" s="31"/>
      <c r="B141" s="470" t="s">
        <v>317</v>
      </c>
      <c r="C141" s="471"/>
      <c r="D141" s="471"/>
      <c r="E141" s="471"/>
      <c r="F141" s="471"/>
      <c r="G141" s="88"/>
      <c r="H141" s="231"/>
      <c r="I141" s="88"/>
      <c r="J141" s="88"/>
      <c r="K141" s="88"/>
      <c r="L141" s="88"/>
      <c r="M141" s="231"/>
      <c r="Q141" s="470" t="s">
        <v>383</v>
      </c>
      <c r="R141" s="471"/>
      <c r="S141" s="471"/>
      <c r="T141" s="471"/>
      <c r="U141" s="471"/>
      <c r="V141" s="88"/>
      <c r="W141" s="231"/>
      <c r="X141" s="88"/>
      <c r="Y141" s="88"/>
      <c r="Z141" s="88"/>
      <c r="AA141" s="88"/>
      <c r="AB141" s="231"/>
    </row>
    <row r="142" spans="1:29" ht="15" customHeight="1">
      <c r="A142" s="31"/>
      <c r="B142" s="341"/>
      <c r="C142" s="469" t="s">
        <v>319</v>
      </c>
      <c r="D142" s="469" t="s">
        <v>323</v>
      </c>
      <c r="E142" s="429" t="s">
        <v>324</v>
      </c>
      <c r="F142" s="469" t="s">
        <v>325</v>
      </c>
      <c r="G142" s="429" t="s">
        <v>365</v>
      </c>
      <c r="H142" s="429" t="s">
        <v>366</v>
      </c>
      <c r="I142" s="429" t="s">
        <v>367</v>
      </c>
      <c r="J142" s="460" t="s">
        <v>368</v>
      </c>
      <c r="K142" s="429" t="s">
        <v>363</v>
      </c>
      <c r="L142" s="461" t="s">
        <v>369</v>
      </c>
      <c r="M142" s="463" t="s">
        <v>370</v>
      </c>
      <c r="N142" s="465" t="s">
        <v>320</v>
      </c>
      <c r="Q142" s="341"/>
      <c r="R142" s="465" t="s">
        <v>319</v>
      </c>
      <c r="S142" s="469" t="s">
        <v>323</v>
      </c>
      <c r="T142" s="429" t="s">
        <v>324</v>
      </c>
      <c r="U142" s="469" t="s">
        <v>325</v>
      </c>
      <c r="V142" s="429" t="s">
        <v>365</v>
      </c>
      <c r="W142" s="429" t="s">
        <v>366</v>
      </c>
      <c r="X142" s="429" t="s">
        <v>367</v>
      </c>
      <c r="Y142" s="460" t="s">
        <v>368</v>
      </c>
      <c r="Z142" s="429" t="s">
        <v>363</v>
      </c>
      <c r="AA142" s="461" t="s">
        <v>369</v>
      </c>
      <c r="AB142" s="463" t="s">
        <v>370</v>
      </c>
      <c r="AC142" s="465" t="s">
        <v>320</v>
      </c>
    </row>
    <row r="143" spans="1:29">
      <c r="A143" s="31"/>
      <c r="B143" s="341"/>
      <c r="C143" s="429"/>
      <c r="D143" s="429"/>
      <c r="E143" s="429"/>
      <c r="F143" s="429"/>
      <c r="G143" s="429"/>
      <c r="H143" s="429"/>
      <c r="I143" s="429"/>
      <c r="J143" s="429"/>
      <c r="K143" s="429"/>
      <c r="L143" s="461"/>
      <c r="M143" s="464"/>
      <c r="N143" s="466"/>
      <c r="Q143" s="341"/>
      <c r="R143" s="466"/>
      <c r="S143" s="429"/>
      <c r="T143" s="429"/>
      <c r="U143" s="429"/>
      <c r="V143" s="429"/>
      <c r="W143" s="429"/>
      <c r="X143" s="429"/>
      <c r="Y143" s="429"/>
      <c r="Z143" s="429"/>
      <c r="AA143" s="461"/>
      <c r="AB143" s="464"/>
      <c r="AC143" s="466"/>
    </row>
    <row r="144" spans="1:29">
      <c r="A144" s="241"/>
      <c r="B144" s="57" t="s">
        <v>314</v>
      </c>
      <c r="C144" s="213">
        <f>'11.Riep. dim. travi e pil.'!$B$6</f>
        <v>30</v>
      </c>
      <c r="D144" s="214">
        <f>'11.Riep. dim. travi e pil.'!$C$6</f>
        <v>70</v>
      </c>
      <c r="E144" s="215">
        <f>C144*D144^3/12</f>
        <v>857500</v>
      </c>
      <c r="F144" s="216">
        <v>3.2</v>
      </c>
      <c r="G144" s="217">
        <f>$C$1*E144/F144/100</f>
        <v>84410156.25</v>
      </c>
      <c r="H144" s="218"/>
      <c r="I144" s="218"/>
      <c r="J144" s="219">
        <f>12*G144/F144^2/1000000</f>
        <v>98.918151855468736</v>
      </c>
      <c r="K144" s="220">
        <f>G144/(H145+H146)*2</f>
        <v>1.2584378146508322</v>
      </c>
      <c r="L144" s="221">
        <f>1/(1+0.5*(K144+K147+2/3*K144*K147)/(1+(K144+K147)/6))</f>
        <v>0.4427839427381382</v>
      </c>
      <c r="M144" s="236">
        <f>J144*L144</f>
        <v>43.799369286934329</v>
      </c>
      <c r="N144" s="237">
        <v>4</v>
      </c>
      <c r="Q144" s="57" t="s">
        <v>314</v>
      </c>
      <c r="R144" s="213">
        <f>'11.Riep. dim. travi e pil.'!$B$6</f>
        <v>30</v>
      </c>
      <c r="S144" s="214">
        <f>'11.Riep. dim. travi e pil.'!$C$6</f>
        <v>70</v>
      </c>
      <c r="T144" s="215">
        <f>R144*S144^3/12</f>
        <v>857500</v>
      </c>
      <c r="U144" s="216">
        <v>3.2</v>
      </c>
      <c r="V144" s="217">
        <f>$C$1*T144/U144/100</f>
        <v>84410156.25</v>
      </c>
      <c r="W144" s="218"/>
      <c r="X144" s="218"/>
      <c r="Y144" s="219">
        <f>12*V144/U144^2/1000000</f>
        <v>98.918151855468736</v>
      </c>
      <c r="Z144" s="220">
        <f>V144/(W145+W146)*2</f>
        <v>2.8492262175694125</v>
      </c>
      <c r="AA144" s="221">
        <f>1/(1+0.5*(Z144+Z147+2/3*Z144*Z147)/(1+(Z144+Z147)/6))</f>
        <v>0.25979247346793982</v>
      </c>
      <c r="AB144" s="236">
        <f>Y144*AA144</f>
        <v>25.698191341409505</v>
      </c>
      <c r="AC144" s="237">
        <v>10</v>
      </c>
    </row>
    <row r="145" spans="1:29">
      <c r="A145" s="31"/>
      <c r="B145" s="211" t="s">
        <v>332</v>
      </c>
      <c r="C145" s="222">
        <f>'11.Riep. dim. travi e pil.'!$B$16</f>
        <v>30</v>
      </c>
      <c r="D145" s="202">
        <f>'11.Riep. dim. travi e pil.'!$C$16</f>
        <v>65</v>
      </c>
      <c r="E145" s="241">
        <f>C145*D145^3/12</f>
        <v>686562.5</v>
      </c>
      <c r="F145" s="203">
        <v>3.8</v>
      </c>
      <c r="G145" s="31"/>
      <c r="H145" s="223">
        <f>$C$1*E145/F145/100</f>
        <v>56912417.763157904</v>
      </c>
      <c r="I145" s="31"/>
      <c r="J145" s="31"/>
      <c r="K145" s="329" t="s">
        <v>364</v>
      </c>
      <c r="L145" s="31"/>
      <c r="M145" s="31"/>
      <c r="N145" s="32"/>
      <c r="Q145" s="211" t="s">
        <v>332</v>
      </c>
      <c r="R145" s="222">
        <f>'11.Riep. dim. travi e pil.'!$B$16</f>
        <v>30</v>
      </c>
      <c r="S145" s="202">
        <f>'11.Riep. dim. travi e pil.'!$C$16</f>
        <v>65</v>
      </c>
      <c r="T145" s="241">
        <f>R145*S145^3/12</f>
        <v>686562.5</v>
      </c>
      <c r="U145" s="203">
        <v>3.65</v>
      </c>
      <c r="V145" s="31"/>
      <c r="W145" s="223">
        <f>$C$1*T145/U145/100</f>
        <v>59251284.246575348</v>
      </c>
      <c r="X145" s="31"/>
      <c r="Y145" s="31"/>
      <c r="Z145" s="329" t="s">
        <v>364</v>
      </c>
      <c r="AA145" s="31"/>
      <c r="AB145" s="31"/>
      <c r="AC145" s="32"/>
    </row>
    <row r="146" spans="1:29">
      <c r="A146" s="31"/>
      <c r="B146" s="211" t="s">
        <v>333</v>
      </c>
      <c r="C146" s="222">
        <v>30</v>
      </c>
      <c r="D146" s="202">
        <f>IF(C146=0,0,'11.Riep. dim. travi e pil.'!$C$16)</f>
        <v>65</v>
      </c>
      <c r="E146" s="241">
        <f t="shared" ref="E146:E148" si="27">C146*D146^3/12</f>
        <v>686562.5</v>
      </c>
      <c r="F146" s="207">
        <v>2.8</v>
      </c>
      <c r="G146" s="31"/>
      <c r="H146" s="223">
        <f>$C$1*E146/F146/100</f>
        <v>77238281.250000015</v>
      </c>
      <c r="I146" s="31"/>
      <c r="J146" s="31"/>
      <c r="K146" s="329"/>
      <c r="L146" s="31"/>
      <c r="M146" s="31"/>
      <c r="N146" s="32"/>
      <c r="Q146" s="211" t="s">
        <v>333</v>
      </c>
      <c r="R146" s="222">
        <v>0</v>
      </c>
      <c r="S146" s="202">
        <f>IF(R146=0,0,'11.Riep. dim. travi e pil.'!$C$16)</f>
        <v>0</v>
      </c>
      <c r="T146" s="241">
        <f t="shared" ref="T146:T148" si="28">R146*S146^3/12</f>
        <v>0</v>
      </c>
      <c r="U146" s="207">
        <v>0</v>
      </c>
      <c r="V146" s="31"/>
      <c r="W146" s="223">
        <f>IF(R146=0,0,$C$1*T146/U146/100)</f>
        <v>0</v>
      </c>
      <c r="X146" s="31"/>
      <c r="Y146" s="31"/>
      <c r="Z146" s="329"/>
      <c r="AA146" s="31"/>
      <c r="AB146" s="31"/>
      <c r="AC146" s="32"/>
    </row>
    <row r="147" spans="1:29">
      <c r="A147" s="31"/>
      <c r="B147" s="212" t="s">
        <v>371</v>
      </c>
      <c r="C147" s="222">
        <f>C145</f>
        <v>30</v>
      </c>
      <c r="D147" s="202">
        <f>IF(C147=0,0,'11.Riep. dim. travi e pil.'!$C$17)</f>
        <v>65</v>
      </c>
      <c r="E147" s="241">
        <f t="shared" si="27"/>
        <v>686562.5</v>
      </c>
      <c r="F147" s="207"/>
      <c r="G147" s="31"/>
      <c r="H147" s="31"/>
      <c r="I147" s="225">
        <f>IF(C147=0,10^99,$C$1*E147/F145/100)</f>
        <v>56912417.763157904</v>
      </c>
      <c r="J147" s="31"/>
      <c r="K147" s="226">
        <f>G144/(I147+I148)*2</f>
        <v>1.2584378146508322</v>
      </c>
      <c r="L147" s="31"/>
      <c r="M147" s="31"/>
      <c r="N147" s="32"/>
      <c r="Q147" s="212" t="s">
        <v>371</v>
      </c>
      <c r="R147" s="222">
        <f>R145</f>
        <v>30</v>
      </c>
      <c r="S147" s="202">
        <f>IF(R147=0,0,'11.Riep. dim. travi e pil.'!$C$17)</f>
        <v>65</v>
      </c>
      <c r="T147" s="241">
        <f t="shared" si="28"/>
        <v>686562.5</v>
      </c>
      <c r="U147" s="207"/>
      <c r="V147" s="31"/>
      <c r="W147" s="31"/>
      <c r="X147" s="225">
        <f>IF(R147=0,10^99,$C$1*T147/U145/100)</f>
        <v>59251284.246575348</v>
      </c>
      <c r="Y147" s="31"/>
      <c r="Z147" s="226">
        <f>V144/(X147+X148)*2</f>
        <v>2.8492262175694125</v>
      </c>
      <c r="AA147" s="31"/>
      <c r="AB147" s="31"/>
      <c r="AC147" s="32"/>
    </row>
    <row r="148" spans="1:29" ht="15" customHeight="1">
      <c r="A148" s="31"/>
      <c r="B148" s="212" t="s">
        <v>372</v>
      </c>
      <c r="C148" s="253">
        <f>C146</f>
        <v>30</v>
      </c>
      <c r="D148" s="254">
        <f>IF(C148=0,0,'11.Riep. dim. travi e pil.'!$C$17)</f>
        <v>65</v>
      </c>
      <c r="E148" s="41">
        <f t="shared" si="27"/>
        <v>686562.5</v>
      </c>
      <c r="F148" s="255"/>
      <c r="G148" s="42"/>
      <c r="H148" s="42"/>
      <c r="I148" s="230">
        <f>IF(C148=0,0,$C$1*E148/F146/100)</f>
        <v>77238281.250000015</v>
      </c>
      <c r="J148" s="42"/>
      <c r="K148" s="42"/>
      <c r="L148" s="42"/>
      <c r="M148" s="42"/>
      <c r="N148" s="44"/>
      <c r="Q148" s="212" t="s">
        <v>372</v>
      </c>
      <c r="R148" s="253">
        <f>R146</f>
        <v>0</v>
      </c>
      <c r="S148" s="254">
        <f>IF(R148=0,0,'11.Riep. dim. travi e pil.'!$C$17)</f>
        <v>0</v>
      </c>
      <c r="T148" s="41">
        <f t="shared" si="28"/>
        <v>0</v>
      </c>
      <c r="U148" s="255"/>
      <c r="V148" s="42"/>
      <c r="W148" s="42"/>
      <c r="X148" s="230">
        <f>IF(R148=0,0,$C$1*T148/U146/100)</f>
        <v>0</v>
      </c>
      <c r="Y148" s="42"/>
      <c r="Z148" s="42"/>
      <c r="AA148" s="42"/>
      <c r="AB148" s="42"/>
      <c r="AC148" s="44"/>
    </row>
    <row r="149" spans="1:29">
      <c r="A149" s="241"/>
      <c r="B149" s="467" t="s">
        <v>373</v>
      </c>
      <c r="C149" s="468"/>
      <c r="D149" s="468"/>
      <c r="E149" s="468"/>
      <c r="F149" s="468"/>
      <c r="N149" s="241"/>
      <c r="O149" s="31"/>
      <c r="Q149" s="467" t="s">
        <v>384</v>
      </c>
      <c r="R149" s="468"/>
      <c r="S149" s="468"/>
      <c r="T149" s="468"/>
      <c r="U149" s="468"/>
      <c r="AC149" s="241"/>
    </row>
    <row r="150" spans="1:29" ht="15" customHeight="1">
      <c r="A150" s="31"/>
      <c r="B150" s="341"/>
      <c r="C150" s="469" t="s">
        <v>319</v>
      </c>
      <c r="D150" s="469" t="s">
        <v>323</v>
      </c>
      <c r="E150" s="429" t="s">
        <v>324</v>
      </c>
      <c r="F150" s="469" t="s">
        <v>325</v>
      </c>
      <c r="G150" s="429" t="s">
        <v>365</v>
      </c>
      <c r="H150" s="429" t="s">
        <v>366</v>
      </c>
      <c r="I150" s="429" t="s">
        <v>367</v>
      </c>
      <c r="J150" s="460" t="s">
        <v>368</v>
      </c>
      <c r="K150" s="429" t="s">
        <v>363</v>
      </c>
      <c r="L150" s="461" t="s">
        <v>369</v>
      </c>
      <c r="M150" s="463" t="s">
        <v>370</v>
      </c>
      <c r="N150" s="465" t="s">
        <v>320</v>
      </c>
      <c r="Q150" s="341"/>
      <c r="R150" s="469" t="s">
        <v>319</v>
      </c>
      <c r="S150" s="469" t="s">
        <v>323</v>
      </c>
      <c r="T150" s="429" t="s">
        <v>324</v>
      </c>
      <c r="U150" s="469" t="s">
        <v>325</v>
      </c>
      <c r="V150" s="429" t="s">
        <v>365</v>
      </c>
      <c r="W150" s="429" t="s">
        <v>366</v>
      </c>
      <c r="X150" s="429" t="s">
        <v>367</v>
      </c>
      <c r="Y150" s="460" t="s">
        <v>368</v>
      </c>
      <c r="Z150" s="429" t="s">
        <v>363</v>
      </c>
      <c r="AA150" s="461" t="s">
        <v>369</v>
      </c>
      <c r="AB150" s="463" t="s">
        <v>370</v>
      </c>
      <c r="AC150" s="465" t="s">
        <v>320</v>
      </c>
    </row>
    <row r="151" spans="1:29">
      <c r="A151" s="31"/>
      <c r="B151" s="341"/>
      <c r="C151" s="459"/>
      <c r="D151" s="459"/>
      <c r="E151" s="459"/>
      <c r="F151" s="459"/>
      <c r="G151" s="459"/>
      <c r="H151" s="459"/>
      <c r="I151" s="459"/>
      <c r="J151" s="459"/>
      <c r="K151" s="459"/>
      <c r="L151" s="462"/>
      <c r="M151" s="464"/>
      <c r="N151" s="466"/>
      <c r="Q151" s="341"/>
      <c r="R151" s="459"/>
      <c r="S151" s="459"/>
      <c r="T151" s="459"/>
      <c r="U151" s="459"/>
      <c r="V151" s="459"/>
      <c r="W151" s="459"/>
      <c r="X151" s="459"/>
      <c r="Y151" s="459"/>
      <c r="Z151" s="459"/>
      <c r="AA151" s="462"/>
      <c r="AB151" s="464"/>
      <c r="AC151" s="466"/>
    </row>
    <row r="152" spans="1:29">
      <c r="A152" s="31"/>
      <c r="B152" s="87" t="s">
        <v>314</v>
      </c>
      <c r="C152" s="213">
        <f>'11.Riep. dim. travi e pil.'!$B$6</f>
        <v>30</v>
      </c>
      <c r="D152" s="214">
        <f>'11.Riep. dim. travi e pil.'!$C$6</f>
        <v>70</v>
      </c>
      <c r="E152" s="215">
        <f>C152*D152^3/12</f>
        <v>857500</v>
      </c>
      <c r="F152" s="216">
        <v>3.2</v>
      </c>
      <c r="G152" s="217">
        <f>$C$1*E152/F152/100</f>
        <v>84410156.25</v>
      </c>
      <c r="H152" s="218"/>
      <c r="I152" s="218"/>
      <c r="J152" s="219">
        <f>12*G152/F152^2/1000000</f>
        <v>98.918151855468736</v>
      </c>
      <c r="K152" s="220">
        <f>G152/(H153+H154)*2</f>
        <v>4.176263086026399</v>
      </c>
      <c r="L152" s="221">
        <f>1/(1+0.5*(K152+K155+2/3*K152*K155)/(1+(K152+K155)/6))</f>
        <v>0.19318956231176773</v>
      </c>
      <c r="M152" s="236">
        <f>J152*L152</f>
        <v>19.109954461646979</v>
      </c>
      <c r="N152" s="237">
        <v>8</v>
      </c>
      <c r="Q152" s="87" t="s">
        <v>314</v>
      </c>
      <c r="R152" s="213">
        <f>'11.Riep. dim. travi e pil.'!$B$6</f>
        <v>30</v>
      </c>
      <c r="S152" s="214">
        <f>'11.Riep. dim. travi e pil.'!$C$6</f>
        <v>70</v>
      </c>
      <c r="T152" s="215">
        <f>R152*S152^3/12</f>
        <v>857500</v>
      </c>
      <c r="U152" s="216">
        <v>3.2</v>
      </c>
      <c r="V152" s="217">
        <f>$C$1*T152/U152/100</f>
        <v>84410156.25</v>
      </c>
      <c r="W152" s="218"/>
      <c r="X152" s="218"/>
      <c r="Y152" s="219">
        <f>12*V152/U152^2/1000000</f>
        <v>98.918151855468736</v>
      </c>
      <c r="Z152" s="220">
        <f>V152/(W153+W154)*2</f>
        <v>1.6071380759859701</v>
      </c>
      <c r="AA152" s="221">
        <f>1/(1+0.5*(Z152+Z155+2/3*Z152*Z155)/(1+(Z152+Z155)/6))</f>
        <v>0.38356234723848259</v>
      </c>
      <c r="AB152" s="236">
        <f>Y152*AA152</f>
        <v>37.941278510176254</v>
      </c>
      <c r="AC152" s="237">
        <v>6</v>
      </c>
    </row>
    <row r="153" spans="1:29" ht="15" customHeight="1">
      <c r="A153" s="241"/>
      <c r="B153" s="234" t="s">
        <v>332</v>
      </c>
      <c r="C153" s="222">
        <f>'11.Riep. dim. travi e pil.'!$B$16</f>
        <v>30</v>
      </c>
      <c r="D153" s="202">
        <f>'11.Riep. dim. travi e pil.'!$C$16</f>
        <v>65</v>
      </c>
      <c r="E153" s="241">
        <f>C153*D153^3/12</f>
        <v>686562.5</v>
      </c>
      <c r="F153" s="203">
        <v>5.35</v>
      </c>
      <c r="G153" s="31"/>
      <c r="H153" s="223">
        <f>$C$1*E153/F153/100</f>
        <v>40423773.364485987</v>
      </c>
      <c r="I153" s="31"/>
      <c r="J153" s="31"/>
      <c r="K153" s="329" t="s">
        <v>364</v>
      </c>
      <c r="L153" s="31"/>
      <c r="M153" s="31"/>
      <c r="N153" s="32"/>
      <c r="Q153" s="234" t="s">
        <v>332</v>
      </c>
      <c r="R153" s="222">
        <f>'11.Riep. dim. travi e pil.'!$B$16</f>
        <v>30</v>
      </c>
      <c r="S153" s="202">
        <f>'11.Riep. dim. travi e pil.'!$C$16</f>
        <v>65</v>
      </c>
      <c r="T153" s="241">
        <f>R153*S153^3/12</f>
        <v>686562.5</v>
      </c>
      <c r="U153" s="203">
        <v>5</v>
      </c>
      <c r="V153" s="31"/>
      <c r="W153" s="223">
        <f>$C$1*T153/U153/100</f>
        <v>43253437.5</v>
      </c>
      <c r="X153" s="31"/>
      <c r="Y153" s="31"/>
      <c r="Z153" s="329" t="s">
        <v>364</v>
      </c>
      <c r="AA153" s="31"/>
      <c r="AB153" s="31"/>
      <c r="AC153" s="32"/>
    </row>
    <row r="154" spans="1:29">
      <c r="A154" s="31"/>
      <c r="B154" s="234" t="s">
        <v>333</v>
      </c>
      <c r="C154" s="222">
        <v>0</v>
      </c>
      <c r="D154" s="202">
        <f>IF(C154=0,0,'11.Riep. dim. travi e pil.'!$C$16)</f>
        <v>0</v>
      </c>
      <c r="E154" s="241">
        <f t="shared" ref="E154:E156" si="29">C154*D154^3/12</f>
        <v>0</v>
      </c>
      <c r="F154" s="207">
        <v>0</v>
      </c>
      <c r="G154" s="31"/>
      <c r="H154" s="223">
        <f>IF(C154=0,0,$C$1*E154/F154/100)</f>
        <v>0</v>
      </c>
      <c r="I154" s="31"/>
      <c r="J154" s="31"/>
      <c r="K154" s="329"/>
      <c r="L154" s="31"/>
      <c r="M154" s="31"/>
      <c r="N154" s="32"/>
      <c r="Q154" s="234" t="s">
        <v>333</v>
      </c>
      <c r="R154" s="222">
        <v>30</v>
      </c>
      <c r="S154" s="202">
        <f>IF(R154=0,0,'11.Riep. dim. travi e pil.'!$C$16)</f>
        <v>65</v>
      </c>
      <c r="T154" s="241">
        <f t="shared" ref="T154:T156" si="30">R154*S154^3/12</f>
        <v>686562.5</v>
      </c>
      <c r="U154" s="207">
        <v>3.5</v>
      </c>
      <c r="V154" s="31"/>
      <c r="W154" s="223">
        <f>IF(R154=0,0,$C$1*T154/U154/100)</f>
        <v>61790625</v>
      </c>
      <c r="X154" s="31"/>
      <c r="Y154" s="31"/>
      <c r="Z154" s="329"/>
      <c r="AA154" s="31"/>
      <c r="AB154" s="31"/>
      <c r="AC154" s="32"/>
    </row>
    <row r="155" spans="1:29">
      <c r="A155" s="31"/>
      <c r="B155" s="235" t="s">
        <v>371</v>
      </c>
      <c r="C155" s="222">
        <f>C153</f>
        <v>30</v>
      </c>
      <c r="D155" s="202">
        <f>IF(C155=0,0,'11.Riep. dim. travi e pil.'!$C$17)</f>
        <v>65</v>
      </c>
      <c r="E155" s="241">
        <f t="shared" si="29"/>
        <v>686562.5</v>
      </c>
      <c r="F155" s="207"/>
      <c r="G155" s="31"/>
      <c r="H155" s="31"/>
      <c r="I155" s="225">
        <f>IF(C155=0,10^99,$C$1*E155/F153/100)</f>
        <v>40423773.364485987</v>
      </c>
      <c r="J155" s="31"/>
      <c r="K155" s="226">
        <f>G152/(I155+I156)*2</f>
        <v>4.176263086026399</v>
      </c>
      <c r="L155" s="31"/>
      <c r="M155" s="31"/>
      <c r="N155" s="32"/>
      <c r="Q155" s="235" t="s">
        <v>371</v>
      </c>
      <c r="R155" s="222">
        <f>R153</f>
        <v>30</v>
      </c>
      <c r="S155" s="202">
        <f>IF(R155=0,0,'11.Riep. dim. travi e pil.'!$C$17)</f>
        <v>65</v>
      </c>
      <c r="T155" s="241">
        <f t="shared" si="30"/>
        <v>686562.5</v>
      </c>
      <c r="U155" s="207"/>
      <c r="V155" s="31"/>
      <c r="W155" s="31"/>
      <c r="X155" s="225">
        <f>IF(R155=0,10^99,$C$1*T155/U153/100)</f>
        <v>43253437.5</v>
      </c>
      <c r="Y155" s="31"/>
      <c r="Z155" s="226">
        <f>V152/(X155+X156)*2</f>
        <v>1.6071380759859701</v>
      </c>
      <c r="AA155" s="31"/>
      <c r="AB155" s="31"/>
      <c r="AC155" s="32"/>
    </row>
    <row r="156" spans="1:29">
      <c r="A156" s="31"/>
      <c r="B156" s="235" t="s">
        <v>372</v>
      </c>
      <c r="C156" s="253">
        <f>C154</f>
        <v>0</v>
      </c>
      <c r="D156" s="254">
        <f>IF(C156=0,0,'11.Riep. dim. travi e pil.'!$C$17)</f>
        <v>0</v>
      </c>
      <c r="E156" s="41">
        <f t="shared" si="29"/>
        <v>0</v>
      </c>
      <c r="F156" s="255"/>
      <c r="G156" s="42"/>
      <c r="H156" s="42"/>
      <c r="I156" s="230">
        <f>IF(C156=0,0,$C$1*E156/F154/100)</f>
        <v>0</v>
      </c>
      <c r="J156" s="42"/>
      <c r="K156" s="42"/>
      <c r="L156" s="42"/>
      <c r="M156" s="42"/>
      <c r="N156" s="44"/>
      <c r="Q156" s="235" t="s">
        <v>372</v>
      </c>
      <c r="R156" s="253">
        <f>R154</f>
        <v>30</v>
      </c>
      <c r="S156" s="254">
        <f>IF(R156=0,0,'11.Riep. dim. travi e pil.'!$C$17)</f>
        <v>65</v>
      </c>
      <c r="T156" s="41">
        <f t="shared" si="30"/>
        <v>686562.5</v>
      </c>
      <c r="U156" s="255"/>
      <c r="V156" s="42"/>
      <c r="W156" s="42"/>
      <c r="X156" s="230">
        <f>IF(R156=0,0,$C$1*T156/U154/100)</f>
        <v>61790625</v>
      </c>
      <c r="Y156" s="42"/>
      <c r="Z156" s="42"/>
      <c r="AA156" s="42"/>
      <c r="AB156" s="42"/>
      <c r="AC156" s="44"/>
    </row>
    <row r="157" spans="1:29">
      <c r="A157" s="243"/>
      <c r="B157" s="467" t="s">
        <v>318</v>
      </c>
      <c r="C157" s="468"/>
      <c r="D157" s="468"/>
      <c r="E157" s="468"/>
      <c r="F157" s="468"/>
      <c r="Q157" s="467" t="s">
        <v>385</v>
      </c>
      <c r="R157" s="468"/>
      <c r="S157" s="468"/>
      <c r="T157" s="468"/>
      <c r="U157" s="468"/>
    </row>
    <row r="158" spans="1:29" ht="15" customHeight="1">
      <c r="A158" s="31"/>
      <c r="B158" s="341"/>
      <c r="C158" s="469" t="s">
        <v>319</v>
      </c>
      <c r="D158" s="469" t="s">
        <v>323</v>
      </c>
      <c r="E158" s="429" t="s">
        <v>324</v>
      </c>
      <c r="F158" s="469" t="s">
        <v>325</v>
      </c>
      <c r="G158" s="429" t="s">
        <v>365</v>
      </c>
      <c r="H158" s="429" t="s">
        <v>366</v>
      </c>
      <c r="I158" s="429" t="s">
        <v>367</v>
      </c>
      <c r="J158" s="460" t="s">
        <v>368</v>
      </c>
      <c r="K158" s="429" t="s">
        <v>363</v>
      </c>
      <c r="L158" s="461" t="s">
        <v>369</v>
      </c>
      <c r="M158" s="463" t="s">
        <v>370</v>
      </c>
      <c r="N158" s="465" t="s">
        <v>320</v>
      </c>
      <c r="Q158" s="341"/>
      <c r="R158" s="469" t="s">
        <v>319</v>
      </c>
      <c r="S158" s="469" t="s">
        <v>323</v>
      </c>
      <c r="T158" s="429" t="s">
        <v>324</v>
      </c>
      <c r="U158" s="469" t="s">
        <v>325</v>
      </c>
      <c r="V158" s="429" t="s">
        <v>365</v>
      </c>
      <c r="W158" s="429" t="s">
        <v>366</v>
      </c>
      <c r="X158" s="429" t="s">
        <v>367</v>
      </c>
      <c r="Y158" s="460" t="s">
        <v>368</v>
      </c>
      <c r="Z158" s="429" t="s">
        <v>363</v>
      </c>
      <c r="AA158" s="461" t="s">
        <v>369</v>
      </c>
      <c r="AB158" s="463" t="s">
        <v>370</v>
      </c>
      <c r="AC158" s="465" t="s">
        <v>320</v>
      </c>
    </row>
    <row r="159" spans="1:29">
      <c r="A159" s="31"/>
      <c r="B159" s="341"/>
      <c r="C159" s="459"/>
      <c r="D159" s="459"/>
      <c r="E159" s="459"/>
      <c r="F159" s="459"/>
      <c r="G159" s="459"/>
      <c r="H159" s="459"/>
      <c r="I159" s="459"/>
      <c r="J159" s="459"/>
      <c r="K159" s="459"/>
      <c r="L159" s="462"/>
      <c r="M159" s="464"/>
      <c r="N159" s="466"/>
      <c r="Q159" s="341"/>
      <c r="R159" s="459"/>
      <c r="S159" s="459"/>
      <c r="T159" s="459"/>
      <c r="U159" s="459"/>
      <c r="V159" s="459"/>
      <c r="W159" s="459"/>
      <c r="X159" s="459"/>
      <c r="Y159" s="459"/>
      <c r="Z159" s="459"/>
      <c r="AA159" s="462"/>
      <c r="AB159" s="464"/>
      <c r="AC159" s="466"/>
    </row>
    <row r="160" spans="1:29" ht="15.75" customHeight="1">
      <c r="A160" s="31"/>
      <c r="B160" s="87" t="s">
        <v>314</v>
      </c>
      <c r="C160" s="213">
        <f>'11.Riep. dim. travi e pil.'!$B$6</f>
        <v>30</v>
      </c>
      <c r="D160" s="214">
        <f>'11.Riep. dim. travi e pil.'!$C$6</f>
        <v>70</v>
      </c>
      <c r="E160" s="215">
        <f>C160*D160^3/12</f>
        <v>857500</v>
      </c>
      <c r="F160" s="216">
        <v>3.2</v>
      </c>
      <c r="G160" s="217">
        <f>$C$1*E160/F160/100</f>
        <v>84410156.25</v>
      </c>
      <c r="H160" s="218"/>
      <c r="I160" s="218"/>
      <c r="J160" s="219">
        <f>12*G160/F160^2/1000000</f>
        <v>98.918151855468736</v>
      </c>
      <c r="K160" s="220">
        <f>G160/(H161+H162)*2</f>
        <v>2.0223372781065088</v>
      </c>
      <c r="L160" s="221">
        <f>1/(1+0.5*(K160+K163+2/3*K160*K163)/(1+(K160+K163)/6))</f>
        <v>0.33086975674220548</v>
      </c>
      <c r="M160" s="236">
        <f>J160*L160</f>
        <v>32.72902484180748</v>
      </c>
      <c r="N160" s="237">
        <v>2</v>
      </c>
      <c r="Q160" s="87" t="s">
        <v>314</v>
      </c>
      <c r="R160" s="213">
        <f>'11.Riep. dim. travi e pil.'!$C$6</f>
        <v>70</v>
      </c>
      <c r="S160" s="214">
        <f>'11.Riep. dim. travi e pil.'!$B$6</f>
        <v>30</v>
      </c>
      <c r="T160" s="215">
        <f>R160*S160^3/12</f>
        <v>157500</v>
      </c>
      <c r="U160" s="216">
        <v>3.2</v>
      </c>
      <c r="V160" s="217">
        <f>$C$1*T160/U160/100</f>
        <v>15503906.25</v>
      </c>
      <c r="W160" s="218"/>
      <c r="X160" s="218"/>
      <c r="Y160" s="219">
        <f>12*V160/U160^2/1000000</f>
        <v>18.168640136718746</v>
      </c>
      <c r="Z160" s="220">
        <f>V160/(W161+W162)*2</f>
        <v>6.1831474738279475</v>
      </c>
      <c r="AA160" s="221">
        <f>1/(1+0.5*(Z160+Z163+2/3*Z160*Z163)/(1+(Z160+Z163)/6))</f>
        <v>0.1392147388931573</v>
      </c>
      <c r="AB160" s="236">
        <f>Y160*AA160</f>
        <v>2.529342492677038</v>
      </c>
      <c r="AC160" s="237">
        <v>6</v>
      </c>
    </row>
    <row r="161" spans="1:29">
      <c r="A161" s="243"/>
      <c r="B161" s="234" t="s">
        <v>332</v>
      </c>
      <c r="C161" s="222">
        <f>'11.Riep. dim. travi e pil.'!$B$16</f>
        <v>30</v>
      </c>
      <c r="D161" s="202">
        <f>'11.Riep. dim. travi e pil.'!$C$16</f>
        <v>65</v>
      </c>
      <c r="E161" s="241">
        <f>C161*D161^3/12</f>
        <v>686562.5</v>
      </c>
      <c r="F161" s="203">
        <v>5.85</v>
      </c>
      <c r="G161" s="31"/>
      <c r="H161" s="223">
        <f>$C$1*E161/F161/100</f>
        <v>36968750</v>
      </c>
      <c r="I161" s="31"/>
      <c r="J161" s="31"/>
      <c r="K161" s="329" t="s">
        <v>364</v>
      </c>
      <c r="L161" s="31"/>
      <c r="M161" s="31"/>
      <c r="N161" s="32"/>
      <c r="Q161" s="234" t="s">
        <v>332</v>
      </c>
      <c r="R161" s="222">
        <f>'11.Riep. dim. travi e pil.'!$D$16</f>
        <v>50</v>
      </c>
      <c r="S161" s="202">
        <f>'11.Riep. dim. travi e pil.'!$E$16</f>
        <v>26</v>
      </c>
      <c r="T161" s="241">
        <f>R161*S161^3/12</f>
        <v>73233.333333333328</v>
      </c>
      <c r="U161" s="203">
        <v>4.5999999999999996</v>
      </c>
      <c r="V161" s="31"/>
      <c r="W161" s="223">
        <f>$C$1*T161/U161/100</f>
        <v>5014891.3043478262</v>
      </c>
      <c r="X161" s="31"/>
      <c r="Y161" s="31"/>
      <c r="Z161" s="329" t="s">
        <v>364</v>
      </c>
      <c r="AA161" s="31"/>
      <c r="AB161" s="31"/>
      <c r="AC161" s="32"/>
    </row>
    <row r="162" spans="1:29">
      <c r="A162" s="31"/>
      <c r="B162" s="234" t="s">
        <v>333</v>
      </c>
      <c r="C162" s="222">
        <v>30</v>
      </c>
      <c r="D162" s="202">
        <f>IF(C162=0,0,'11.Riep. dim. travi e pil.'!$C$16)</f>
        <v>65</v>
      </c>
      <c r="E162" s="241">
        <f t="shared" ref="E162:E164" si="31">C162*D162^3/12</f>
        <v>686562.5</v>
      </c>
      <c r="F162" s="207">
        <v>4.6500000000000004</v>
      </c>
      <c r="G162" s="31"/>
      <c r="H162" s="223">
        <f>IF(C162=0,0,$C$1*E162/F162/100)</f>
        <v>46509072.580645159</v>
      </c>
      <c r="I162" s="31"/>
      <c r="J162" s="31"/>
      <c r="K162" s="329"/>
      <c r="L162" s="31"/>
      <c r="M162" s="31"/>
      <c r="N162" s="32"/>
      <c r="Q162" s="234" t="s">
        <v>333</v>
      </c>
      <c r="R162" s="222">
        <v>0</v>
      </c>
      <c r="S162" s="202">
        <f>IF(R162=0,0,'11.Riep. dim. travi e pil.'!$E$16)</f>
        <v>0</v>
      </c>
      <c r="T162" s="241">
        <f t="shared" ref="T162:T164" si="32">R162*S162^3/12</f>
        <v>0</v>
      </c>
      <c r="U162" s="207">
        <v>0</v>
      </c>
      <c r="V162" s="31"/>
      <c r="W162" s="223">
        <f>IF(R162=0,0,$C$1*T162/U162/100)</f>
        <v>0</v>
      </c>
      <c r="X162" s="31"/>
      <c r="Y162" s="31"/>
      <c r="Z162" s="329"/>
      <c r="AA162" s="31"/>
      <c r="AB162" s="31"/>
      <c r="AC162" s="32"/>
    </row>
    <row r="163" spans="1:29">
      <c r="A163" s="31"/>
      <c r="B163" s="235" t="s">
        <v>371</v>
      </c>
      <c r="C163" s="222">
        <f>C161</f>
        <v>30</v>
      </c>
      <c r="D163" s="202">
        <f>IF(C163=0,0,'11.Riep. dim. travi e pil.'!$C$17)</f>
        <v>65</v>
      </c>
      <c r="E163" s="241">
        <f t="shared" si="31"/>
        <v>686562.5</v>
      </c>
      <c r="F163" s="207"/>
      <c r="G163" s="31"/>
      <c r="H163" s="31"/>
      <c r="I163" s="225">
        <f>IF(C163=0,10^99,$C$1*E163/F161/100)</f>
        <v>36968750</v>
      </c>
      <c r="J163" s="31"/>
      <c r="K163" s="226">
        <f>G160/(I163+I164)*2</f>
        <v>2.0223372781065088</v>
      </c>
      <c r="L163" s="31"/>
      <c r="M163" s="31"/>
      <c r="N163" s="32"/>
      <c r="Q163" s="235" t="s">
        <v>371</v>
      </c>
      <c r="R163" s="222">
        <f>'11.Riep. dim. travi e pil.'!$D$17</f>
        <v>50</v>
      </c>
      <c r="S163" s="202">
        <f>IF(R163=0,0,'11.Riep. dim. travi e pil.'!$E$17)</f>
        <v>26</v>
      </c>
      <c r="T163" s="241">
        <f t="shared" si="32"/>
        <v>73233.333333333328</v>
      </c>
      <c r="U163" s="207"/>
      <c r="V163" s="31"/>
      <c r="W163" s="31"/>
      <c r="X163" s="225">
        <f>IF(R163=0,10^99,$C$1*T163/U161/100)</f>
        <v>5014891.3043478262</v>
      </c>
      <c r="Y163" s="31"/>
      <c r="Z163" s="226">
        <f>V160/(X163+X164)*2</f>
        <v>6.1831474738279475</v>
      </c>
      <c r="AA163" s="31"/>
      <c r="AB163" s="31"/>
      <c r="AC163" s="32"/>
    </row>
    <row r="164" spans="1:29">
      <c r="A164" s="257"/>
      <c r="B164" s="235" t="s">
        <v>372</v>
      </c>
      <c r="C164" s="253">
        <f>C162</f>
        <v>30</v>
      </c>
      <c r="D164" s="254">
        <f>IF(C164=0,0,'11.Riep. dim. travi e pil.'!$C$17)</f>
        <v>65</v>
      </c>
      <c r="E164" s="41">
        <f t="shared" si="31"/>
        <v>686562.5</v>
      </c>
      <c r="F164" s="255"/>
      <c r="G164" s="42"/>
      <c r="H164" s="42"/>
      <c r="I164" s="230">
        <f>IF(C164=0,0,$C$1*E164/F162/100)</f>
        <v>46509072.580645159</v>
      </c>
      <c r="J164" s="42"/>
      <c r="K164" s="42"/>
      <c r="L164" s="42"/>
      <c r="M164" s="42"/>
      <c r="N164" s="44"/>
      <c r="Q164" s="235" t="s">
        <v>372</v>
      </c>
      <c r="R164" s="253">
        <f>R162</f>
        <v>0</v>
      </c>
      <c r="S164" s="254">
        <f>IF(R164=0,0,'11.Riep. dim. travi e pil.'!$E$17)</f>
        <v>0</v>
      </c>
      <c r="T164" s="41">
        <f t="shared" si="32"/>
        <v>0</v>
      </c>
      <c r="U164" s="255"/>
      <c r="V164" s="42"/>
      <c r="W164" s="42"/>
      <c r="X164" s="230">
        <f>IF(R164=0,0,$C$1*T164/U162/100)</f>
        <v>0</v>
      </c>
      <c r="Y164" s="42"/>
      <c r="Z164" s="42"/>
      <c r="AA164" s="42"/>
      <c r="AB164" s="42"/>
      <c r="AC164" s="44"/>
    </row>
    <row r="165" spans="1:29">
      <c r="A165" s="258"/>
      <c r="B165" s="467" t="s">
        <v>382</v>
      </c>
      <c r="C165" s="468"/>
      <c r="D165" s="468"/>
      <c r="E165" s="468"/>
      <c r="F165" s="468"/>
      <c r="Q165" s="467" t="s">
        <v>386</v>
      </c>
      <c r="R165" s="468"/>
      <c r="S165" s="468"/>
      <c r="T165" s="468"/>
      <c r="U165" s="468"/>
    </row>
    <row r="166" spans="1:29" ht="15" customHeight="1">
      <c r="B166" s="341"/>
      <c r="C166" s="469" t="s">
        <v>319</v>
      </c>
      <c r="D166" s="469" t="s">
        <v>323</v>
      </c>
      <c r="E166" s="429" t="s">
        <v>324</v>
      </c>
      <c r="F166" s="469" t="s">
        <v>325</v>
      </c>
      <c r="G166" s="429" t="s">
        <v>365</v>
      </c>
      <c r="H166" s="429" t="s">
        <v>366</v>
      </c>
      <c r="I166" s="429" t="s">
        <v>367</v>
      </c>
      <c r="J166" s="460" t="s">
        <v>368</v>
      </c>
      <c r="K166" s="429" t="s">
        <v>363</v>
      </c>
      <c r="L166" s="461" t="s">
        <v>369</v>
      </c>
      <c r="M166" s="463" t="s">
        <v>370</v>
      </c>
      <c r="N166" s="465" t="s">
        <v>320</v>
      </c>
      <c r="Q166" s="341"/>
      <c r="R166" s="469" t="s">
        <v>319</v>
      </c>
      <c r="S166" s="469" t="s">
        <v>323</v>
      </c>
      <c r="T166" s="429" t="s">
        <v>324</v>
      </c>
      <c r="U166" s="469" t="s">
        <v>325</v>
      </c>
      <c r="V166" s="429" t="s">
        <v>365</v>
      </c>
      <c r="W166" s="429" t="s">
        <v>366</v>
      </c>
      <c r="X166" s="429" t="s">
        <v>367</v>
      </c>
      <c r="Y166" s="460" t="s">
        <v>368</v>
      </c>
      <c r="Z166" s="429" t="s">
        <v>363</v>
      </c>
      <c r="AA166" s="461" t="s">
        <v>369</v>
      </c>
      <c r="AB166" s="463" t="s">
        <v>370</v>
      </c>
      <c r="AC166" s="465" t="s">
        <v>320</v>
      </c>
    </row>
    <row r="167" spans="1:29">
      <c r="B167" s="341"/>
      <c r="C167" s="459"/>
      <c r="D167" s="459"/>
      <c r="E167" s="459"/>
      <c r="F167" s="459"/>
      <c r="G167" s="459"/>
      <c r="H167" s="459"/>
      <c r="I167" s="459"/>
      <c r="J167" s="459"/>
      <c r="K167" s="459"/>
      <c r="L167" s="462"/>
      <c r="M167" s="464"/>
      <c r="N167" s="466"/>
      <c r="Q167" s="341"/>
      <c r="R167" s="459"/>
      <c r="S167" s="459"/>
      <c r="T167" s="459"/>
      <c r="U167" s="459"/>
      <c r="V167" s="459"/>
      <c r="W167" s="459"/>
      <c r="X167" s="459"/>
      <c r="Y167" s="459"/>
      <c r="Z167" s="459"/>
      <c r="AA167" s="462"/>
      <c r="AB167" s="464"/>
      <c r="AC167" s="466"/>
    </row>
    <row r="168" spans="1:29">
      <c r="B168" s="87" t="s">
        <v>314</v>
      </c>
      <c r="C168" s="213">
        <f>'11.Riep. dim. travi e pil.'!$C$6</f>
        <v>70</v>
      </c>
      <c r="D168" s="214">
        <f>'11.Riep. dim. travi e pil.'!$B$6</f>
        <v>30</v>
      </c>
      <c r="E168" s="215">
        <f>C168*D168^3/12</f>
        <v>157500</v>
      </c>
      <c r="F168" s="216">
        <v>3.2</v>
      </c>
      <c r="G168" s="217">
        <f>$C$1*E168/F168/100</f>
        <v>15503906.25</v>
      </c>
      <c r="H168" s="218"/>
      <c r="I168" s="218"/>
      <c r="J168" s="219">
        <f>12*G168/F168^2/1000000</f>
        <v>18.168640136718746</v>
      </c>
      <c r="K168" s="220">
        <f>G168/(H169+H170)*2</f>
        <v>0.71688666363222575</v>
      </c>
      <c r="L168" s="221">
        <f>1/(1+0.5*(K168+K171+2/3*K168*K171)/(1+(K168+K171)/6))</f>
        <v>0.58244962884411455</v>
      </c>
      <c r="M168" s="236">
        <f>J168*L168</f>
        <v>10.582317704234116</v>
      </c>
      <c r="N168" s="237">
        <v>16</v>
      </c>
      <c r="Q168" s="87" t="s">
        <v>314</v>
      </c>
      <c r="R168" s="213">
        <f>'11.Riep. dim. travi e pil.'!$C$7</f>
        <v>70</v>
      </c>
      <c r="S168" s="214">
        <f>'11.Riep. dim. travi e pil.'!$B$7</f>
        <v>30</v>
      </c>
      <c r="T168" s="215">
        <f>R168*S168^3/12</f>
        <v>157500</v>
      </c>
      <c r="U168" s="216">
        <v>3.2</v>
      </c>
      <c r="V168" s="217">
        <f>$C$1*T168/U168/100</f>
        <v>15503906.25</v>
      </c>
      <c r="W168" s="218"/>
      <c r="X168" s="218"/>
      <c r="Y168" s="219">
        <f>12*V168/U168^2/1000000</f>
        <v>18.168640136718746</v>
      </c>
      <c r="Z168" s="220">
        <f>V168/(W169+W170)*2</f>
        <v>2.0162437414656349</v>
      </c>
      <c r="AA168" s="221">
        <f>1/(1+0.5*(Z168+Z171+2/3*Z168*Z171)/(1+(Z168+Z171)/6))</f>
        <v>0.33153819310175714</v>
      </c>
      <c r="AB168" s="236">
        <f>Y168*AA168</f>
        <v>6.0235981220437953</v>
      </c>
      <c r="AC168" s="237">
        <v>2</v>
      </c>
    </row>
    <row r="169" spans="1:29">
      <c r="A169" s="259"/>
      <c r="B169" s="234" t="s">
        <v>332</v>
      </c>
      <c r="C169" s="222">
        <f>'11.Riep. dim. travi e pil.'!$B$16</f>
        <v>30</v>
      </c>
      <c r="D169" s="202">
        <f>'11.Riep. dim. travi e pil.'!$C$16</f>
        <v>65</v>
      </c>
      <c r="E169" s="241">
        <f>C169*D169^3/12</f>
        <v>686562.5</v>
      </c>
      <c r="F169" s="203">
        <v>5</v>
      </c>
      <c r="G169" s="31"/>
      <c r="H169" s="223">
        <f>$C$1*E169/F169/100</f>
        <v>43253437.5</v>
      </c>
      <c r="I169" s="31"/>
      <c r="J169" s="31"/>
      <c r="K169" s="329" t="s">
        <v>364</v>
      </c>
      <c r="L169" s="31"/>
      <c r="M169" s="31"/>
      <c r="N169" s="32"/>
      <c r="Q169" s="234" t="s">
        <v>332</v>
      </c>
      <c r="R169" s="222">
        <f>'11.Riep. dim. travi e pil.'!$D$16</f>
        <v>50</v>
      </c>
      <c r="S169" s="202">
        <f>'11.Riep. dim. travi e pil.'!$E$16</f>
        <v>26</v>
      </c>
      <c r="T169" s="241">
        <f>R169*S169^3/12</f>
        <v>73233.333333333328</v>
      </c>
      <c r="U169" s="203">
        <v>4.2</v>
      </c>
      <c r="V169" s="31"/>
      <c r="W169" s="223">
        <f>$C$1*T169/U169/100</f>
        <v>5492500</v>
      </c>
      <c r="X169" s="31"/>
      <c r="Y169" s="31"/>
      <c r="Z169" s="329" t="s">
        <v>364</v>
      </c>
      <c r="AA169" s="31"/>
      <c r="AB169" s="31"/>
      <c r="AC169" s="32"/>
    </row>
    <row r="170" spans="1:29">
      <c r="A170" s="31"/>
      <c r="B170" s="234" t="s">
        <v>333</v>
      </c>
      <c r="C170" s="222">
        <v>0</v>
      </c>
      <c r="D170" s="202">
        <f>IF(C170=0,0,'11.Riep. dim. travi e pil.'!$C$16)</f>
        <v>0</v>
      </c>
      <c r="E170" s="241">
        <f t="shared" ref="E170:E172" si="33">C170*D170^3/12</f>
        <v>0</v>
      </c>
      <c r="F170" s="207">
        <v>0</v>
      </c>
      <c r="G170" s="31"/>
      <c r="H170" s="223">
        <f>IF(C170=0,0,$C$1*E170/F170/100)</f>
        <v>0</v>
      </c>
      <c r="I170" s="31"/>
      <c r="J170" s="31"/>
      <c r="K170" s="329"/>
      <c r="L170" s="31"/>
      <c r="M170" s="31"/>
      <c r="N170" s="32"/>
      <c r="Q170" s="234" t="s">
        <v>333</v>
      </c>
      <c r="R170" s="222">
        <v>60</v>
      </c>
      <c r="S170" s="202">
        <f>IF(R170=0,0,'11.Riep. dim. travi e pil.'!$E$16)</f>
        <v>26</v>
      </c>
      <c r="T170" s="241">
        <f t="shared" ref="T170:T172" si="34">R170*S170^3/12</f>
        <v>87880</v>
      </c>
      <c r="U170" s="207">
        <v>2.8</v>
      </c>
      <c r="V170" s="31"/>
      <c r="W170" s="223">
        <f>IF(R170=0,0,$C$1*T170/U170/100)</f>
        <v>9886500.0000000019</v>
      </c>
      <c r="X170" s="31"/>
      <c r="Y170" s="31"/>
      <c r="Z170" s="329"/>
      <c r="AA170" s="31"/>
      <c r="AB170" s="31"/>
      <c r="AC170" s="32"/>
    </row>
    <row r="171" spans="1:29" ht="15" customHeight="1">
      <c r="A171" s="245"/>
      <c r="B171" s="235" t="s">
        <v>371</v>
      </c>
      <c r="C171" s="222">
        <f>C169</f>
        <v>30</v>
      </c>
      <c r="D171" s="202">
        <f>IF(C171=0,0,'11.Riep. dim. travi e pil.'!$C$17)</f>
        <v>65</v>
      </c>
      <c r="E171" s="241">
        <f t="shared" si="33"/>
        <v>686562.5</v>
      </c>
      <c r="F171" s="207"/>
      <c r="G171" s="31"/>
      <c r="H171" s="31"/>
      <c r="I171" s="225">
        <f>IF(C171=0,10^99,$C$1*E171/F169/100)</f>
        <v>43253437.5</v>
      </c>
      <c r="J171" s="31"/>
      <c r="K171" s="226">
        <f>G168/(I171+I172)*2</f>
        <v>0.71688666363222575</v>
      </c>
      <c r="L171" s="31"/>
      <c r="M171" s="31"/>
      <c r="N171" s="32"/>
      <c r="Q171" s="235" t="s">
        <v>371</v>
      </c>
      <c r="R171" s="222">
        <f>'11.Riep. dim. travi e pil.'!$D$17</f>
        <v>50</v>
      </c>
      <c r="S171" s="202">
        <f>IF(R171=0,0,'11.Riep. dim. travi e pil.'!$E$17)</f>
        <v>26</v>
      </c>
      <c r="T171" s="241">
        <f t="shared" si="34"/>
        <v>73233.333333333328</v>
      </c>
      <c r="U171" s="207"/>
      <c r="V171" s="31"/>
      <c r="W171" s="31"/>
      <c r="X171" s="225">
        <f>IF(R171=0,10^99,$C$1*T171/U169/100)</f>
        <v>5492500</v>
      </c>
      <c r="Y171" s="31"/>
      <c r="Z171" s="226">
        <f>V168/(X171+X172)*2</f>
        <v>2.0162437414656349</v>
      </c>
      <c r="AA171" s="31"/>
      <c r="AB171" s="31"/>
      <c r="AC171" s="32"/>
    </row>
    <row r="172" spans="1:29" ht="15.75" thickBot="1">
      <c r="A172" s="245"/>
      <c r="B172" s="235" t="s">
        <v>372</v>
      </c>
      <c r="C172" s="253">
        <f>C170</f>
        <v>0</v>
      </c>
      <c r="D172" s="254">
        <f>IF(C172=0,0,'11.Riep. dim. travi e pil.'!$C$17)</f>
        <v>0</v>
      </c>
      <c r="E172" s="41">
        <f t="shared" si="33"/>
        <v>0</v>
      </c>
      <c r="F172" s="255"/>
      <c r="G172" s="42"/>
      <c r="H172" s="42"/>
      <c r="I172" s="230">
        <f>IF(C172=0,0,$C$1*E172/F170/100)</f>
        <v>0</v>
      </c>
      <c r="J172" s="42"/>
      <c r="K172" s="42"/>
      <c r="L172" s="42"/>
      <c r="M172" s="42"/>
      <c r="N172" s="44"/>
      <c r="Q172" s="235" t="s">
        <v>372</v>
      </c>
      <c r="R172" s="253">
        <f>R170</f>
        <v>60</v>
      </c>
      <c r="S172" s="254">
        <f>IF(R172=0,0,'11.Riep. dim. travi e pil.'!$E$17)</f>
        <v>26</v>
      </c>
      <c r="T172" s="41">
        <f t="shared" si="34"/>
        <v>87880</v>
      </c>
      <c r="U172" s="255"/>
      <c r="V172" s="42"/>
      <c r="W172" s="42"/>
      <c r="X172" s="230">
        <f>IF(R172=0,0,$C$1*T172/U170/100)</f>
        <v>9886500.0000000019</v>
      </c>
      <c r="Y172" s="42"/>
      <c r="Z172" s="42"/>
      <c r="AA172" s="42"/>
      <c r="AB172" s="42"/>
      <c r="AC172" s="44"/>
    </row>
    <row r="173" spans="1:29" ht="19.5" thickBot="1">
      <c r="A173" s="241"/>
      <c r="B173" s="455" t="s">
        <v>133</v>
      </c>
      <c r="C173" s="456"/>
      <c r="D173" s="456"/>
      <c r="E173" s="456"/>
      <c r="F173" s="456"/>
      <c r="M173" s="248">
        <f>M144*N144+M152*N152+M160*N160+M168*N168</f>
        <v>562.85224579227395</v>
      </c>
      <c r="N173" s="181" t="s">
        <v>326</v>
      </c>
      <c r="Q173" s="467" t="s">
        <v>382</v>
      </c>
      <c r="R173" s="468"/>
      <c r="S173" s="468"/>
      <c r="T173" s="468"/>
      <c r="U173" s="468"/>
    </row>
    <row r="174" spans="1:29" ht="15.75" customHeight="1">
      <c r="A174" s="31"/>
      <c r="B174" s="457" t="s">
        <v>328</v>
      </c>
      <c r="C174" s="458"/>
      <c r="D174" s="458"/>
      <c r="E174" s="458"/>
      <c r="F174" s="458"/>
      <c r="G174" s="458"/>
      <c r="H174" s="42"/>
      <c r="I174" s="42"/>
      <c r="J174" s="42"/>
      <c r="K174" s="42"/>
      <c r="L174" s="42"/>
      <c r="M174" s="42"/>
      <c r="N174" s="182">
        <f>M173/M144</f>
        <v>12.850692942744654</v>
      </c>
      <c r="Q174" s="341"/>
      <c r="R174" s="469" t="s">
        <v>319</v>
      </c>
      <c r="S174" s="469" t="s">
        <v>323</v>
      </c>
      <c r="T174" s="429" t="s">
        <v>324</v>
      </c>
      <c r="U174" s="469" t="s">
        <v>325</v>
      </c>
      <c r="V174" s="429" t="s">
        <v>365</v>
      </c>
      <c r="W174" s="429" t="s">
        <v>366</v>
      </c>
      <c r="X174" s="429" t="s">
        <v>367</v>
      </c>
      <c r="Y174" s="460" t="s">
        <v>368</v>
      </c>
      <c r="Z174" s="429" t="s">
        <v>363</v>
      </c>
      <c r="AA174" s="461" t="s">
        <v>369</v>
      </c>
      <c r="AB174" s="463" t="s">
        <v>370</v>
      </c>
      <c r="AC174" s="465" t="s">
        <v>320</v>
      </c>
    </row>
    <row r="175" spans="1:29">
      <c r="A175" s="31"/>
      <c r="Q175" s="341"/>
      <c r="R175" s="459"/>
      <c r="S175" s="459"/>
      <c r="T175" s="459"/>
      <c r="U175" s="459"/>
      <c r="V175" s="459"/>
      <c r="W175" s="459"/>
      <c r="X175" s="459"/>
      <c r="Y175" s="459"/>
      <c r="Z175" s="459"/>
      <c r="AA175" s="462"/>
      <c r="AB175" s="464"/>
      <c r="AC175" s="466"/>
    </row>
    <row r="176" spans="1:29">
      <c r="A176" s="31"/>
      <c r="Q176" s="87" t="s">
        <v>314</v>
      </c>
      <c r="R176" s="213">
        <f>'11.Riep. dim. travi e pil.'!$C$6</f>
        <v>70</v>
      </c>
      <c r="S176" s="214">
        <f>'11.Riep. dim. travi e pil.'!$B$6</f>
        <v>30</v>
      </c>
      <c r="T176" s="215">
        <f>R176*S176^3/12</f>
        <v>157500</v>
      </c>
      <c r="U176" s="216">
        <v>3.2</v>
      </c>
      <c r="V176" s="217">
        <f>$C$1*T176/U176/100</f>
        <v>15503906.25</v>
      </c>
      <c r="W176" s="218"/>
      <c r="X176" s="218"/>
      <c r="Y176" s="219">
        <f>12*V176/U176^2/1000000</f>
        <v>18.168640136718746</v>
      </c>
      <c r="Z176" s="220">
        <f>V176/(W177+W178)*2</f>
        <v>0.55917159763313606</v>
      </c>
      <c r="AA176" s="221">
        <f>1/(1+0.5*(Z176+Z179+2/3*Z176*Z179)/(1+(Z176+Z179)/6))</f>
        <v>0.64136622390891851</v>
      </c>
      <c r="AB176" s="236">
        <f>Y176*AA176</f>
        <v>11.652752118047319</v>
      </c>
      <c r="AC176" s="237">
        <v>6</v>
      </c>
    </row>
    <row r="177" spans="1:29">
      <c r="A177" s="241"/>
      <c r="Q177" s="234" t="s">
        <v>332</v>
      </c>
      <c r="R177" s="222">
        <f>'11.Riep. dim. travi e pil.'!$B$16</f>
        <v>30</v>
      </c>
      <c r="S177" s="202">
        <f>'11.Riep. dim. travi e pil.'!$C$16</f>
        <v>65</v>
      </c>
      <c r="T177" s="241">
        <f>R177*S177^3/12</f>
        <v>686562.5</v>
      </c>
      <c r="U177" s="203">
        <v>3.9</v>
      </c>
      <c r="V177" s="31"/>
      <c r="W177" s="223">
        <f>$C$1*T177/U177/100</f>
        <v>55453125</v>
      </c>
      <c r="X177" s="31"/>
      <c r="Y177" s="31"/>
      <c r="Z177" s="329" t="s">
        <v>364</v>
      </c>
      <c r="AA177" s="31"/>
      <c r="AB177" s="31"/>
      <c r="AC177" s="32"/>
    </row>
    <row r="178" spans="1:29">
      <c r="A178" s="31"/>
      <c r="Q178" s="234" t="s">
        <v>333</v>
      </c>
      <c r="R178" s="222">
        <v>0</v>
      </c>
      <c r="S178" s="202">
        <f>IF(R178=0,0,'11.Riep. dim. travi e pil.'!$C$16)</f>
        <v>0</v>
      </c>
      <c r="T178" s="241">
        <f t="shared" ref="T178:T180" si="35">R178*S178^3/12</f>
        <v>0</v>
      </c>
      <c r="U178" s="207">
        <v>0</v>
      </c>
      <c r="V178" s="31"/>
      <c r="W178" s="223">
        <f>IF(R178=0,0,$C$1*T178/U178/100)</f>
        <v>0</v>
      </c>
      <c r="X178" s="31"/>
      <c r="Y178" s="31"/>
      <c r="Z178" s="329"/>
      <c r="AA178" s="31"/>
      <c r="AB178" s="31"/>
      <c r="AC178" s="32"/>
    </row>
    <row r="179" spans="1:29">
      <c r="A179" s="31"/>
      <c r="Q179" s="235" t="s">
        <v>371</v>
      </c>
      <c r="R179" s="222">
        <f>R177</f>
        <v>30</v>
      </c>
      <c r="S179" s="202">
        <f>IF(R179=0,0,'11.Riep. dim. travi e pil.'!$C$17)</f>
        <v>65</v>
      </c>
      <c r="T179" s="241">
        <f t="shared" si="35"/>
        <v>686562.5</v>
      </c>
      <c r="U179" s="207"/>
      <c r="V179" s="31"/>
      <c r="W179" s="31"/>
      <c r="X179" s="225">
        <f>IF(R179=0,10^99,$C$1*T179/U177/100)</f>
        <v>55453125</v>
      </c>
      <c r="Y179" s="31"/>
      <c r="Z179" s="226">
        <f>V176/(X179+X180)*2</f>
        <v>0.55917159763313606</v>
      </c>
      <c r="AA179" s="31"/>
      <c r="AB179" s="31"/>
      <c r="AC179" s="32"/>
    </row>
    <row r="180" spans="1:29" ht="15.75" customHeight="1" thickBot="1">
      <c r="A180" s="31"/>
      <c r="Q180" s="235" t="s">
        <v>372</v>
      </c>
      <c r="R180" s="253">
        <f>R178</f>
        <v>0</v>
      </c>
      <c r="S180" s="254">
        <f>IF(R180=0,0,'11.Riep. dim. travi e pil.'!$C$17)</f>
        <v>0</v>
      </c>
      <c r="T180" s="41">
        <f t="shared" si="35"/>
        <v>0</v>
      </c>
      <c r="U180" s="255"/>
      <c r="V180" s="42"/>
      <c r="W180" s="42"/>
      <c r="X180" s="230">
        <f>IF(R180=0,0,$C$1*T180/U178/100)</f>
        <v>0</v>
      </c>
      <c r="Y180" s="42"/>
      <c r="Z180" s="42"/>
      <c r="AA180" s="42"/>
      <c r="AB180" s="42"/>
      <c r="AC180" s="44"/>
    </row>
    <row r="181" spans="1:29" ht="19.5" customHeight="1" thickBot="1">
      <c r="A181" s="241"/>
      <c r="Q181" s="455" t="s">
        <v>133</v>
      </c>
      <c r="R181" s="456"/>
      <c r="S181" s="456"/>
      <c r="T181" s="456"/>
      <c r="U181" s="456"/>
      <c r="AB181" s="248">
        <f>AB144*AC144+AB152*AC152+AB160*AC160+AB176*AC176+AB168*AC168</f>
        <v>581.76934838358625</v>
      </c>
      <c r="AC181" s="181" t="s">
        <v>326</v>
      </c>
    </row>
    <row r="182" spans="1:29" ht="15.75">
      <c r="A182" s="31"/>
      <c r="Q182" s="457" t="s">
        <v>328</v>
      </c>
      <c r="R182" s="458"/>
      <c r="S182" s="458"/>
      <c r="T182" s="458"/>
      <c r="U182" s="458"/>
      <c r="V182" s="458"/>
      <c r="W182" s="42"/>
      <c r="X182" s="42"/>
      <c r="Y182" s="42"/>
      <c r="Z182" s="42"/>
      <c r="AA182" s="42"/>
      <c r="AB182" s="42"/>
      <c r="AC182" s="182">
        <f>AB181/AB152</f>
        <v>15.333414455908478</v>
      </c>
    </row>
    <row r="183" spans="1:29">
      <c r="A183" s="31"/>
    </row>
    <row r="184" spans="1:29">
      <c r="A184" s="31"/>
    </row>
    <row r="185" spans="1:29">
      <c r="A185" s="31"/>
      <c r="B185" s="180" t="s">
        <v>327</v>
      </c>
      <c r="C185" s="264" t="s">
        <v>400</v>
      </c>
    </row>
    <row r="186" spans="1:29">
      <c r="A186" s="260"/>
      <c r="B186" s="474" t="s">
        <v>321</v>
      </c>
      <c r="C186" s="475"/>
      <c r="D186" s="475"/>
      <c r="E186" s="475"/>
      <c r="F186" s="475"/>
      <c r="G186" s="475"/>
      <c r="H186" s="475"/>
      <c r="I186" s="475"/>
      <c r="J186" s="475"/>
      <c r="K186" s="475"/>
      <c r="L186" s="475"/>
      <c r="M186" s="476"/>
      <c r="Q186" s="474" t="s">
        <v>329</v>
      </c>
      <c r="R186" s="475"/>
      <c r="S186" s="475"/>
      <c r="T186" s="475"/>
      <c r="U186" s="475"/>
      <c r="V186" s="475"/>
      <c r="W186" s="475"/>
      <c r="X186" s="475"/>
      <c r="Y186" s="475"/>
      <c r="Z186" s="475"/>
      <c r="AA186" s="475"/>
      <c r="AB186" s="476"/>
    </row>
    <row r="187" spans="1:29">
      <c r="A187" s="31"/>
      <c r="B187" s="470" t="s">
        <v>317</v>
      </c>
      <c r="C187" s="471"/>
      <c r="D187" s="471"/>
      <c r="E187" s="471"/>
      <c r="F187" s="471"/>
      <c r="G187" s="88"/>
      <c r="H187" s="231"/>
      <c r="I187" s="88"/>
      <c r="J187" s="88"/>
      <c r="K187" s="88"/>
      <c r="L187" s="88"/>
      <c r="M187" s="231"/>
      <c r="Q187" s="470" t="s">
        <v>383</v>
      </c>
      <c r="R187" s="471"/>
      <c r="S187" s="471"/>
      <c r="T187" s="471"/>
      <c r="U187" s="471"/>
      <c r="V187" s="88"/>
      <c r="W187" s="231"/>
      <c r="X187" s="88"/>
      <c r="Y187" s="88"/>
      <c r="Z187" s="88"/>
      <c r="AA187" s="88"/>
      <c r="AB187" s="231"/>
    </row>
    <row r="188" spans="1:29">
      <c r="A188" s="31"/>
      <c r="B188" s="341"/>
      <c r="C188" s="469" t="s">
        <v>319</v>
      </c>
      <c r="D188" s="469" t="s">
        <v>323</v>
      </c>
      <c r="E188" s="429" t="s">
        <v>324</v>
      </c>
      <c r="F188" s="469" t="s">
        <v>325</v>
      </c>
      <c r="G188" s="429" t="s">
        <v>365</v>
      </c>
      <c r="H188" s="429" t="s">
        <v>366</v>
      </c>
      <c r="I188" s="429" t="s">
        <v>367</v>
      </c>
      <c r="J188" s="460" t="s">
        <v>368</v>
      </c>
      <c r="K188" s="429" t="s">
        <v>363</v>
      </c>
      <c r="L188" s="461" t="s">
        <v>369</v>
      </c>
      <c r="M188" s="463" t="s">
        <v>370</v>
      </c>
      <c r="N188" s="465" t="s">
        <v>320</v>
      </c>
      <c r="Q188" s="341"/>
      <c r="R188" s="465" t="s">
        <v>319</v>
      </c>
      <c r="S188" s="469" t="s">
        <v>323</v>
      </c>
      <c r="T188" s="429" t="s">
        <v>324</v>
      </c>
      <c r="U188" s="469" t="s">
        <v>325</v>
      </c>
      <c r="V188" s="429" t="s">
        <v>365</v>
      </c>
      <c r="W188" s="429" t="s">
        <v>366</v>
      </c>
      <c r="X188" s="429" t="s">
        <v>367</v>
      </c>
      <c r="Y188" s="460" t="s">
        <v>368</v>
      </c>
      <c r="Z188" s="429" t="s">
        <v>363</v>
      </c>
      <c r="AA188" s="461" t="s">
        <v>369</v>
      </c>
      <c r="AB188" s="463" t="s">
        <v>370</v>
      </c>
      <c r="AC188" s="465" t="s">
        <v>320</v>
      </c>
    </row>
    <row r="189" spans="1:29" ht="15" customHeight="1">
      <c r="A189" s="31"/>
      <c r="B189" s="341"/>
      <c r="C189" s="429"/>
      <c r="D189" s="429"/>
      <c r="E189" s="429"/>
      <c r="F189" s="429"/>
      <c r="G189" s="429"/>
      <c r="H189" s="429"/>
      <c r="I189" s="429"/>
      <c r="J189" s="429"/>
      <c r="K189" s="429"/>
      <c r="L189" s="461"/>
      <c r="M189" s="464"/>
      <c r="N189" s="466"/>
      <c r="Q189" s="341"/>
      <c r="R189" s="466"/>
      <c r="S189" s="429"/>
      <c r="T189" s="429"/>
      <c r="U189" s="429"/>
      <c r="V189" s="429"/>
      <c r="W189" s="429"/>
      <c r="X189" s="429"/>
      <c r="Y189" s="429"/>
      <c r="Z189" s="429"/>
      <c r="AA189" s="461"/>
      <c r="AB189" s="464"/>
      <c r="AC189" s="466"/>
    </row>
    <row r="190" spans="1:29">
      <c r="A190" s="260"/>
      <c r="B190" s="57" t="s">
        <v>314</v>
      </c>
      <c r="C190" s="213">
        <f>'11.Riep. dim. travi e pil.'!$B$6</f>
        <v>30</v>
      </c>
      <c r="D190" s="214">
        <f>'11.Riep. dim. travi e pil.'!$C$6</f>
        <v>70</v>
      </c>
      <c r="E190" s="215">
        <f>C190*D190^3/12</f>
        <v>857500</v>
      </c>
      <c r="F190" s="216">
        <v>3.2</v>
      </c>
      <c r="G190" s="217">
        <f>$C$1*E190/F190/100</f>
        <v>84410156.25</v>
      </c>
      <c r="H190" s="218"/>
      <c r="I190" s="218"/>
      <c r="J190" s="219">
        <f>12*G190/F190^2/1000000</f>
        <v>98.918151855468736</v>
      </c>
      <c r="K190" s="220">
        <f>G190/(H191+H192)*2</f>
        <v>1.2584378146508322</v>
      </c>
      <c r="L190" s="221">
        <f>1/(1+0.5*(K190+K193+2/3*K190*K193)/(1+(K190+K193)/6))</f>
        <v>0.4427839427381382</v>
      </c>
      <c r="M190" s="236">
        <f>J190*L190</f>
        <v>43.799369286934329</v>
      </c>
      <c r="N190" s="237">
        <v>4</v>
      </c>
      <c r="Q190" s="57" t="s">
        <v>314</v>
      </c>
      <c r="R190" s="213">
        <f>'11.Riep. dim. travi e pil.'!$B$6</f>
        <v>30</v>
      </c>
      <c r="S190" s="214">
        <f>'11.Riep. dim. travi e pil.'!$C$6</f>
        <v>70</v>
      </c>
      <c r="T190" s="215">
        <f>R190*S190^3/12</f>
        <v>857500</v>
      </c>
      <c r="U190" s="216">
        <v>3.2</v>
      </c>
      <c r="V190" s="217">
        <f>$C$1*T190/U190/100</f>
        <v>84410156.25</v>
      </c>
      <c r="W190" s="218"/>
      <c r="X190" s="218"/>
      <c r="Y190" s="219">
        <f>12*V190/U190^2/1000000</f>
        <v>98.918151855468736</v>
      </c>
      <c r="Z190" s="220">
        <f>V190/(W191+W192)*2</f>
        <v>2.8492262175694125</v>
      </c>
      <c r="AA190" s="221">
        <f>1/(1+0.5*(Z190+Z193+2/3*Z190*Z193)/(1+(Z190+Z193)/6))</f>
        <v>0.25979247346793982</v>
      </c>
      <c r="AB190" s="236">
        <f>Y190*AA190</f>
        <v>25.698191341409505</v>
      </c>
      <c r="AC190" s="237">
        <v>10</v>
      </c>
    </row>
    <row r="191" spans="1:29">
      <c r="A191" s="31"/>
      <c r="B191" s="211" t="s">
        <v>332</v>
      </c>
      <c r="C191" s="222">
        <f>'11.Riep. dim. travi e pil.'!$B$16</f>
        <v>30</v>
      </c>
      <c r="D191" s="202">
        <f>'11.Riep. dim. travi e pil.'!$C$16</f>
        <v>65</v>
      </c>
      <c r="E191" s="260">
        <f>C191*D191^3/12</f>
        <v>686562.5</v>
      </c>
      <c r="F191" s="203">
        <v>3.8</v>
      </c>
      <c r="G191" s="31"/>
      <c r="H191" s="223">
        <f>$C$1*E191/F191/100</f>
        <v>56912417.763157904</v>
      </c>
      <c r="I191" s="31"/>
      <c r="J191" s="31"/>
      <c r="K191" s="329" t="s">
        <v>364</v>
      </c>
      <c r="L191" s="31"/>
      <c r="M191" s="31"/>
      <c r="N191" s="32"/>
      <c r="Q191" s="211" t="s">
        <v>332</v>
      </c>
      <c r="R191" s="222">
        <f>'11.Riep. dim. travi e pil.'!$B$16</f>
        <v>30</v>
      </c>
      <c r="S191" s="202">
        <f>'11.Riep. dim. travi e pil.'!$C$16</f>
        <v>65</v>
      </c>
      <c r="T191" s="260">
        <f>R191*S191^3/12</f>
        <v>686562.5</v>
      </c>
      <c r="U191" s="203">
        <v>3.65</v>
      </c>
      <c r="V191" s="31"/>
      <c r="W191" s="223">
        <f>$C$1*T191/U191/100</f>
        <v>59251284.246575348</v>
      </c>
      <c r="X191" s="31"/>
      <c r="Y191" s="31"/>
      <c r="Z191" s="329" t="s">
        <v>364</v>
      </c>
      <c r="AA191" s="31"/>
      <c r="AB191" s="31"/>
      <c r="AC191" s="32"/>
    </row>
    <row r="192" spans="1:29">
      <c r="A192" s="31"/>
      <c r="B192" s="211" t="s">
        <v>333</v>
      </c>
      <c r="C192" s="222">
        <v>30</v>
      </c>
      <c r="D192" s="202">
        <f>IF(C192=0,0,'11.Riep. dim. travi e pil.'!$C$16)</f>
        <v>65</v>
      </c>
      <c r="E192" s="260">
        <f t="shared" ref="E192:E194" si="36">C192*D192^3/12</f>
        <v>686562.5</v>
      </c>
      <c r="F192" s="207">
        <v>2.8</v>
      </c>
      <c r="G192" s="31"/>
      <c r="H192" s="223">
        <f>$C$1*E192/F192/100</f>
        <v>77238281.250000015</v>
      </c>
      <c r="I192" s="31"/>
      <c r="J192" s="31"/>
      <c r="K192" s="329"/>
      <c r="L192" s="31"/>
      <c r="M192" s="31"/>
      <c r="N192" s="32"/>
      <c r="Q192" s="211" t="s">
        <v>333</v>
      </c>
      <c r="R192" s="222">
        <v>0</v>
      </c>
      <c r="S192" s="202">
        <f>IF(R192=0,0,'11.Riep. dim. travi e pil.'!$C$16)</f>
        <v>0</v>
      </c>
      <c r="T192" s="260">
        <f t="shared" ref="T192:T194" si="37">R192*S192^3/12</f>
        <v>0</v>
      </c>
      <c r="U192" s="207">
        <v>0</v>
      </c>
      <c r="V192" s="31"/>
      <c r="W192" s="223">
        <f>IF(R192=0,0,$C$1*T192/U192/100)</f>
        <v>0</v>
      </c>
      <c r="X192" s="31"/>
      <c r="Y192" s="31"/>
      <c r="Z192" s="329"/>
      <c r="AA192" s="31"/>
      <c r="AB192" s="31"/>
      <c r="AC192" s="32"/>
    </row>
    <row r="193" spans="1:29">
      <c r="A193" s="31"/>
      <c r="B193" s="212" t="s">
        <v>371</v>
      </c>
      <c r="C193" s="222">
        <f>C191</f>
        <v>30</v>
      </c>
      <c r="D193" s="202">
        <f>IF(C193=0,0,'11.Riep. dim. travi e pil.'!$C$17)</f>
        <v>65</v>
      </c>
      <c r="E193" s="260">
        <f t="shared" si="36"/>
        <v>686562.5</v>
      </c>
      <c r="F193" s="207"/>
      <c r="G193" s="31"/>
      <c r="H193" s="31"/>
      <c r="I193" s="225">
        <f>IF(C193=0,10^99,$C$1*E193/F191/100)</f>
        <v>56912417.763157904</v>
      </c>
      <c r="J193" s="31"/>
      <c r="K193" s="226">
        <f>G190/(I193+I194)*2</f>
        <v>1.2584378146508322</v>
      </c>
      <c r="L193" s="31"/>
      <c r="M193" s="31"/>
      <c r="N193" s="32"/>
      <c r="Q193" s="212" t="s">
        <v>371</v>
      </c>
      <c r="R193" s="222">
        <f>R191</f>
        <v>30</v>
      </c>
      <c r="S193" s="202">
        <f>IF(R193=0,0,'11.Riep. dim. travi e pil.'!$C$17)</f>
        <v>65</v>
      </c>
      <c r="T193" s="260">
        <f t="shared" si="37"/>
        <v>686562.5</v>
      </c>
      <c r="U193" s="207"/>
      <c r="V193" s="31"/>
      <c r="W193" s="31"/>
      <c r="X193" s="225">
        <f>IF(R193=0,10^99,$C$1*T193/U191/100)</f>
        <v>59251284.246575348</v>
      </c>
      <c r="Y193" s="31"/>
      <c r="Z193" s="226">
        <f>V190/(X193+X194)*2</f>
        <v>2.8492262175694125</v>
      </c>
      <c r="AA193" s="31"/>
      <c r="AB193" s="31"/>
      <c r="AC193" s="32"/>
    </row>
    <row r="194" spans="1:29" ht="15" customHeight="1">
      <c r="A194" s="31"/>
      <c r="B194" s="212" t="s">
        <v>372</v>
      </c>
      <c r="C194" s="253">
        <f>C192</f>
        <v>30</v>
      </c>
      <c r="D194" s="254">
        <f>IF(C194=0,0,'11.Riep. dim. travi e pil.'!$C$17)</f>
        <v>65</v>
      </c>
      <c r="E194" s="41">
        <f t="shared" si="36"/>
        <v>686562.5</v>
      </c>
      <c r="F194" s="255"/>
      <c r="G194" s="42"/>
      <c r="H194" s="42"/>
      <c r="I194" s="230">
        <f>IF(C194=0,0,$C$1*E194/F192/100)</f>
        <v>77238281.250000015</v>
      </c>
      <c r="J194" s="42"/>
      <c r="K194" s="42"/>
      <c r="L194" s="42"/>
      <c r="M194" s="42"/>
      <c r="N194" s="44"/>
      <c r="Q194" s="212" t="s">
        <v>372</v>
      </c>
      <c r="R194" s="253">
        <f>R192</f>
        <v>0</v>
      </c>
      <c r="S194" s="254">
        <f>IF(R194=0,0,'11.Riep. dim. travi e pil.'!$C$17)</f>
        <v>0</v>
      </c>
      <c r="T194" s="41">
        <f t="shared" si="37"/>
        <v>0</v>
      </c>
      <c r="U194" s="255"/>
      <c r="V194" s="42"/>
      <c r="W194" s="42"/>
      <c r="X194" s="230">
        <f>IF(R194=0,0,$C$1*T194/U192/100)</f>
        <v>0</v>
      </c>
      <c r="Y194" s="42"/>
      <c r="Z194" s="42"/>
      <c r="AA194" s="42"/>
      <c r="AB194" s="42"/>
      <c r="AC194" s="44"/>
    </row>
    <row r="195" spans="1:29">
      <c r="A195" s="260"/>
      <c r="B195" s="467" t="s">
        <v>373</v>
      </c>
      <c r="C195" s="468"/>
      <c r="D195" s="468"/>
      <c r="E195" s="468"/>
      <c r="F195" s="468"/>
      <c r="N195" s="260"/>
      <c r="O195" s="31"/>
      <c r="Q195" s="467" t="s">
        <v>384</v>
      </c>
      <c r="R195" s="468"/>
      <c r="S195" s="468"/>
      <c r="T195" s="468"/>
      <c r="U195" s="468"/>
      <c r="AC195" s="260"/>
    </row>
    <row r="196" spans="1:29">
      <c r="A196" s="31"/>
      <c r="B196" s="341"/>
      <c r="C196" s="469" t="s">
        <v>319</v>
      </c>
      <c r="D196" s="469" t="s">
        <v>323</v>
      </c>
      <c r="E196" s="429" t="s">
        <v>324</v>
      </c>
      <c r="F196" s="469" t="s">
        <v>325</v>
      </c>
      <c r="G196" s="429" t="s">
        <v>365</v>
      </c>
      <c r="H196" s="429" t="s">
        <v>366</v>
      </c>
      <c r="I196" s="429" t="s">
        <v>367</v>
      </c>
      <c r="J196" s="460" t="s">
        <v>368</v>
      </c>
      <c r="K196" s="429" t="s">
        <v>363</v>
      </c>
      <c r="L196" s="461" t="s">
        <v>369</v>
      </c>
      <c r="M196" s="463" t="s">
        <v>370</v>
      </c>
      <c r="N196" s="465" t="s">
        <v>320</v>
      </c>
      <c r="Q196" s="341"/>
      <c r="R196" s="469" t="s">
        <v>319</v>
      </c>
      <c r="S196" s="469" t="s">
        <v>323</v>
      </c>
      <c r="T196" s="429" t="s">
        <v>324</v>
      </c>
      <c r="U196" s="469" t="s">
        <v>325</v>
      </c>
      <c r="V196" s="429" t="s">
        <v>365</v>
      </c>
      <c r="W196" s="429" t="s">
        <v>366</v>
      </c>
      <c r="X196" s="429" t="s">
        <v>367</v>
      </c>
      <c r="Y196" s="460" t="s">
        <v>368</v>
      </c>
      <c r="Z196" s="429" t="s">
        <v>363</v>
      </c>
      <c r="AA196" s="461" t="s">
        <v>369</v>
      </c>
      <c r="AB196" s="463" t="s">
        <v>370</v>
      </c>
      <c r="AC196" s="465" t="s">
        <v>320</v>
      </c>
    </row>
    <row r="197" spans="1:29">
      <c r="A197" s="31"/>
      <c r="B197" s="341"/>
      <c r="C197" s="459"/>
      <c r="D197" s="459"/>
      <c r="E197" s="459"/>
      <c r="F197" s="459"/>
      <c r="G197" s="459"/>
      <c r="H197" s="459"/>
      <c r="I197" s="459"/>
      <c r="J197" s="459"/>
      <c r="K197" s="459"/>
      <c r="L197" s="462"/>
      <c r="M197" s="464"/>
      <c r="N197" s="466"/>
      <c r="Q197" s="341"/>
      <c r="R197" s="459"/>
      <c r="S197" s="459"/>
      <c r="T197" s="459"/>
      <c r="U197" s="459"/>
      <c r="V197" s="459"/>
      <c r="W197" s="459"/>
      <c r="X197" s="459"/>
      <c r="Y197" s="459"/>
      <c r="Z197" s="459"/>
      <c r="AA197" s="462"/>
      <c r="AB197" s="464"/>
      <c r="AC197" s="466"/>
    </row>
    <row r="198" spans="1:29">
      <c r="A198" s="31"/>
      <c r="B198" s="87" t="s">
        <v>314</v>
      </c>
      <c r="C198" s="213">
        <f>'11.Riep. dim. travi e pil.'!$B$6</f>
        <v>30</v>
      </c>
      <c r="D198" s="214">
        <f>'11.Riep. dim. travi e pil.'!$C$6</f>
        <v>70</v>
      </c>
      <c r="E198" s="215">
        <f>C198*D198^3/12</f>
        <v>857500</v>
      </c>
      <c r="F198" s="216">
        <v>3.2</v>
      </c>
      <c r="G198" s="217">
        <f>$C$1*E198/F198/100</f>
        <v>84410156.25</v>
      </c>
      <c r="H198" s="218"/>
      <c r="I198" s="218"/>
      <c r="J198" s="219">
        <f>12*G198/F198^2/1000000</f>
        <v>98.918151855468736</v>
      </c>
      <c r="K198" s="220">
        <f>G198/(H199+H200)*2</f>
        <v>4.176263086026399</v>
      </c>
      <c r="L198" s="221">
        <f>1/(1+0.5*(K198+K201+2/3*K198*K201)/(1+(K198+K201)/6))</f>
        <v>0.19318956231176773</v>
      </c>
      <c r="M198" s="236">
        <f>J198*L198</f>
        <v>19.109954461646979</v>
      </c>
      <c r="N198" s="237">
        <v>8</v>
      </c>
      <c r="Q198" s="87" t="s">
        <v>314</v>
      </c>
      <c r="R198" s="213">
        <f>'11.Riep. dim. travi e pil.'!$B$6</f>
        <v>30</v>
      </c>
      <c r="S198" s="214">
        <f>'11.Riep. dim. travi e pil.'!$C$6</f>
        <v>70</v>
      </c>
      <c r="T198" s="215">
        <f>R198*S198^3/12</f>
        <v>857500</v>
      </c>
      <c r="U198" s="216">
        <v>3.2</v>
      </c>
      <c r="V198" s="217">
        <f>$C$1*T198/U198/100</f>
        <v>84410156.25</v>
      </c>
      <c r="W198" s="218"/>
      <c r="X198" s="218"/>
      <c r="Y198" s="219">
        <f>12*V198/U198^2/1000000</f>
        <v>98.918151855468736</v>
      </c>
      <c r="Z198" s="220">
        <f>V198/(W199+W200)*2</f>
        <v>1.6071380759859701</v>
      </c>
      <c r="AA198" s="221">
        <f>1/(1+0.5*(Z198+Z201+2/3*Z198*Z201)/(1+(Z198+Z201)/6))</f>
        <v>0.38356234723848259</v>
      </c>
      <c r="AB198" s="236">
        <f>Y198*AA198</f>
        <v>37.941278510176254</v>
      </c>
      <c r="AC198" s="237">
        <v>6</v>
      </c>
    </row>
    <row r="199" spans="1:29">
      <c r="A199" s="260"/>
      <c r="B199" s="234" t="s">
        <v>332</v>
      </c>
      <c r="C199" s="222">
        <f>'11.Riep. dim. travi e pil.'!$B$16</f>
        <v>30</v>
      </c>
      <c r="D199" s="202">
        <f>'11.Riep. dim. travi e pil.'!$C$16</f>
        <v>65</v>
      </c>
      <c r="E199" s="260">
        <f>C199*D199^3/12</f>
        <v>686562.5</v>
      </c>
      <c r="F199" s="203">
        <v>5.35</v>
      </c>
      <c r="G199" s="31"/>
      <c r="H199" s="223">
        <f>$C$1*E199/F199/100</f>
        <v>40423773.364485987</v>
      </c>
      <c r="I199" s="31"/>
      <c r="J199" s="31"/>
      <c r="K199" s="329" t="s">
        <v>364</v>
      </c>
      <c r="L199" s="31"/>
      <c r="M199" s="31"/>
      <c r="N199" s="32"/>
      <c r="Q199" s="234" t="s">
        <v>332</v>
      </c>
      <c r="R199" s="222">
        <f>'11.Riep. dim. travi e pil.'!$B$16</f>
        <v>30</v>
      </c>
      <c r="S199" s="202">
        <f>'11.Riep. dim. travi e pil.'!$C$16</f>
        <v>65</v>
      </c>
      <c r="T199" s="260">
        <f>R199*S199^3/12</f>
        <v>686562.5</v>
      </c>
      <c r="U199" s="203">
        <v>5</v>
      </c>
      <c r="V199" s="31"/>
      <c r="W199" s="223">
        <f>$C$1*T199/U199/100</f>
        <v>43253437.5</v>
      </c>
      <c r="X199" s="31"/>
      <c r="Y199" s="31"/>
      <c r="Z199" s="329" t="s">
        <v>364</v>
      </c>
      <c r="AA199" s="31"/>
      <c r="AB199" s="31"/>
      <c r="AC199" s="32"/>
    </row>
    <row r="200" spans="1:29">
      <c r="A200" s="31"/>
      <c r="B200" s="234" t="s">
        <v>333</v>
      </c>
      <c r="C200" s="222">
        <v>0</v>
      </c>
      <c r="D200" s="202">
        <f>IF(C200=0,0,'11.Riep. dim. travi e pil.'!$C$16)</f>
        <v>0</v>
      </c>
      <c r="E200" s="260">
        <f t="shared" ref="E200:E202" si="38">C200*D200^3/12</f>
        <v>0</v>
      </c>
      <c r="F200" s="207">
        <v>0</v>
      </c>
      <c r="G200" s="31"/>
      <c r="H200" s="223">
        <f>IF(C200=0,0,$C$1*E200/F200/100)</f>
        <v>0</v>
      </c>
      <c r="I200" s="31"/>
      <c r="J200" s="31"/>
      <c r="K200" s="329"/>
      <c r="L200" s="31"/>
      <c r="M200" s="31"/>
      <c r="N200" s="32"/>
      <c r="Q200" s="234" t="s">
        <v>333</v>
      </c>
      <c r="R200" s="222">
        <v>30</v>
      </c>
      <c r="S200" s="202">
        <f>IF(R200=0,0,'11.Riep. dim. travi e pil.'!$C$16)</f>
        <v>65</v>
      </c>
      <c r="T200" s="260">
        <f t="shared" ref="T200:T202" si="39">R200*S200^3/12</f>
        <v>686562.5</v>
      </c>
      <c r="U200" s="207">
        <v>3.5</v>
      </c>
      <c r="V200" s="31"/>
      <c r="W200" s="223">
        <f>IF(R200=0,0,$C$1*T200/U200/100)</f>
        <v>61790625</v>
      </c>
      <c r="X200" s="31"/>
      <c r="Y200" s="31"/>
      <c r="Z200" s="329"/>
      <c r="AA200" s="31"/>
      <c r="AB200" s="31"/>
      <c r="AC200" s="32"/>
    </row>
    <row r="201" spans="1:29" ht="15.75" customHeight="1">
      <c r="A201" s="31"/>
      <c r="B201" s="235" t="s">
        <v>371</v>
      </c>
      <c r="C201" s="222">
        <f>C199</f>
        <v>30</v>
      </c>
      <c r="D201" s="202">
        <f>IF(C201=0,0,'11.Riep. dim. travi e pil.'!$C$17)</f>
        <v>65</v>
      </c>
      <c r="E201" s="260">
        <f t="shared" si="38"/>
        <v>686562.5</v>
      </c>
      <c r="F201" s="207"/>
      <c r="G201" s="31"/>
      <c r="H201" s="31"/>
      <c r="I201" s="225">
        <f>IF(C201=0,10^99,$C$1*E201/F199/100)</f>
        <v>40423773.364485987</v>
      </c>
      <c r="J201" s="31"/>
      <c r="K201" s="226">
        <f>G198/(I201+I202)*2</f>
        <v>4.176263086026399</v>
      </c>
      <c r="L201" s="31"/>
      <c r="M201" s="31"/>
      <c r="N201" s="32"/>
      <c r="Q201" s="235" t="s">
        <v>371</v>
      </c>
      <c r="R201" s="222">
        <f>R199</f>
        <v>30</v>
      </c>
      <c r="S201" s="202">
        <f>IF(R201=0,0,'11.Riep. dim. travi e pil.'!$C$17)</f>
        <v>65</v>
      </c>
      <c r="T201" s="260">
        <f t="shared" si="39"/>
        <v>686562.5</v>
      </c>
      <c r="U201" s="207"/>
      <c r="V201" s="31"/>
      <c r="W201" s="31"/>
      <c r="X201" s="225">
        <f>IF(R201=0,10^99,$C$1*T201/U199/100)</f>
        <v>43253437.5</v>
      </c>
      <c r="Y201" s="31"/>
      <c r="Z201" s="226">
        <f>V198/(X201+X202)*2</f>
        <v>1.6071380759859701</v>
      </c>
      <c r="AA201" s="31"/>
      <c r="AB201" s="31"/>
      <c r="AC201" s="32"/>
    </row>
    <row r="202" spans="1:29">
      <c r="A202" s="31"/>
      <c r="B202" s="235" t="s">
        <v>372</v>
      </c>
      <c r="C202" s="253">
        <f>C200</f>
        <v>0</v>
      </c>
      <c r="D202" s="254">
        <f>IF(C202=0,0,'11.Riep. dim. travi e pil.'!$C$17)</f>
        <v>0</v>
      </c>
      <c r="E202" s="41">
        <f t="shared" si="38"/>
        <v>0</v>
      </c>
      <c r="F202" s="255"/>
      <c r="G202" s="42"/>
      <c r="H202" s="42"/>
      <c r="I202" s="230">
        <f>IF(C202=0,0,$C$1*E202/F200/100)</f>
        <v>0</v>
      </c>
      <c r="J202" s="42"/>
      <c r="K202" s="42"/>
      <c r="L202" s="42"/>
      <c r="M202" s="42"/>
      <c r="N202" s="44"/>
      <c r="Q202" s="235" t="s">
        <v>372</v>
      </c>
      <c r="R202" s="253">
        <f>R200</f>
        <v>30</v>
      </c>
      <c r="S202" s="254">
        <f>IF(R202=0,0,'11.Riep. dim. travi e pil.'!$C$17)</f>
        <v>65</v>
      </c>
      <c r="T202" s="41">
        <f t="shared" si="39"/>
        <v>686562.5</v>
      </c>
      <c r="U202" s="255"/>
      <c r="V202" s="42"/>
      <c r="W202" s="42"/>
      <c r="X202" s="230">
        <f>IF(R202=0,0,$C$1*T202/U200/100)</f>
        <v>61790625</v>
      </c>
      <c r="Y202" s="42"/>
      <c r="Z202" s="42"/>
      <c r="AA202" s="42"/>
      <c r="AB202" s="42"/>
      <c r="AC202" s="44"/>
    </row>
    <row r="203" spans="1:29">
      <c r="A203" s="262"/>
      <c r="B203" s="467" t="s">
        <v>318</v>
      </c>
      <c r="C203" s="468"/>
      <c r="D203" s="468"/>
      <c r="E203" s="468"/>
      <c r="F203" s="468"/>
      <c r="Q203" s="467" t="s">
        <v>385</v>
      </c>
      <c r="R203" s="468"/>
      <c r="S203" s="468"/>
      <c r="T203" s="468"/>
      <c r="U203" s="468"/>
    </row>
    <row r="204" spans="1:29">
      <c r="A204" s="31"/>
      <c r="B204" s="341"/>
      <c r="C204" s="469" t="s">
        <v>319</v>
      </c>
      <c r="D204" s="469" t="s">
        <v>323</v>
      </c>
      <c r="E204" s="429" t="s">
        <v>324</v>
      </c>
      <c r="F204" s="469" t="s">
        <v>325</v>
      </c>
      <c r="G204" s="429" t="s">
        <v>365</v>
      </c>
      <c r="H204" s="429" t="s">
        <v>366</v>
      </c>
      <c r="I204" s="429" t="s">
        <v>367</v>
      </c>
      <c r="J204" s="460" t="s">
        <v>368</v>
      </c>
      <c r="K204" s="429" t="s">
        <v>363</v>
      </c>
      <c r="L204" s="461" t="s">
        <v>369</v>
      </c>
      <c r="M204" s="463" t="s">
        <v>370</v>
      </c>
      <c r="N204" s="465" t="s">
        <v>320</v>
      </c>
      <c r="Q204" s="341"/>
      <c r="R204" s="469" t="s">
        <v>319</v>
      </c>
      <c r="S204" s="469" t="s">
        <v>323</v>
      </c>
      <c r="T204" s="429" t="s">
        <v>324</v>
      </c>
      <c r="U204" s="469" t="s">
        <v>325</v>
      </c>
      <c r="V204" s="429" t="s">
        <v>365</v>
      </c>
      <c r="W204" s="429" t="s">
        <v>366</v>
      </c>
      <c r="X204" s="429" t="s">
        <v>367</v>
      </c>
      <c r="Y204" s="460" t="s">
        <v>368</v>
      </c>
      <c r="Z204" s="429" t="s">
        <v>363</v>
      </c>
      <c r="AA204" s="461" t="s">
        <v>369</v>
      </c>
      <c r="AB204" s="463" t="s">
        <v>370</v>
      </c>
      <c r="AC204" s="465" t="s">
        <v>320</v>
      </c>
    </row>
    <row r="205" spans="1:29">
      <c r="A205" s="31"/>
      <c r="B205" s="341"/>
      <c r="C205" s="459"/>
      <c r="D205" s="459"/>
      <c r="E205" s="459"/>
      <c r="F205" s="459"/>
      <c r="G205" s="459"/>
      <c r="H205" s="459"/>
      <c r="I205" s="459"/>
      <c r="J205" s="459"/>
      <c r="K205" s="459"/>
      <c r="L205" s="462"/>
      <c r="M205" s="464"/>
      <c r="N205" s="466"/>
      <c r="Q205" s="341"/>
      <c r="R205" s="459"/>
      <c r="S205" s="459"/>
      <c r="T205" s="459"/>
      <c r="U205" s="459"/>
      <c r="V205" s="459"/>
      <c r="W205" s="459"/>
      <c r="X205" s="459"/>
      <c r="Y205" s="459"/>
      <c r="Z205" s="459"/>
      <c r="AA205" s="462"/>
      <c r="AB205" s="464"/>
      <c r="AC205" s="466"/>
    </row>
    <row r="206" spans="1:29">
      <c r="A206" s="31"/>
      <c r="B206" s="87" t="s">
        <v>314</v>
      </c>
      <c r="C206" s="213">
        <f>'11.Riep. dim. travi e pil.'!$B$6</f>
        <v>30</v>
      </c>
      <c r="D206" s="214">
        <f>'11.Riep. dim. travi e pil.'!$C$6</f>
        <v>70</v>
      </c>
      <c r="E206" s="215">
        <f>C206*D206^3/12</f>
        <v>857500</v>
      </c>
      <c r="F206" s="216">
        <v>3.2</v>
      </c>
      <c r="G206" s="217">
        <f>$C$1*E206/F206/100</f>
        <v>84410156.25</v>
      </c>
      <c r="H206" s="218"/>
      <c r="I206" s="218"/>
      <c r="J206" s="219">
        <f>12*G206/F206^2/1000000</f>
        <v>98.918151855468736</v>
      </c>
      <c r="K206" s="220">
        <f>G206/(H207+H208)*2</f>
        <v>2.0223372781065088</v>
      </c>
      <c r="L206" s="221">
        <f>1/(1+0.5*(K206+K209+2/3*K206*K209)/(1+(K206+K209)/6))</f>
        <v>0.33086975674220548</v>
      </c>
      <c r="M206" s="236">
        <f>J206*L206</f>
        <v>32.72902484180748</v>
      </c>
      <c r="N206" s="237">
        <v>2</v>
      </c>
      <c r="Q206" s="87" t="s">
        <v>314</v>
      </c>
      <c r="R206" s="213">
        <f>'11.Riep. dim. travi e pil.'!$C$6</f>
        <v>70</v>
      </c>
      <c r="S206" s="214">
        <f>'11.Riep. dim. travi e pil.'!$B$6</f>
        <v>30</v>
      </c>
      <c r="T206" s="215">
        <f>R206*S206^3/12</f>
        <v>157500</v>
      </c>
      <c r="U206" s="216">
        <v>3.2</v>
      </c>
      <c r="V206" s="217">
        <f>$C$1*T206/U206/100</f>
        <v>15503906.25</v>
      </c>
      <c r="W206" s="218"/>
      <c r="X206" s="218"/>
      <c r="Y206" s="219">
        <f>12*V206/U206^2/1000000</f>
        <v>18.168640136718746</v>
      </c>
      <c r="Z206" s="220">
        <f>V206/(W207+W208)*2</f>
        <v>6.1831474738279475</v>
      </c>
      <c r="AA206" s="221">
        <f>1/(1+0.5*(Z206+Z209+2/3*Z206*Z209)/(1+(Z206+Z209)/6))</f>
        <v>0.1392147388931573</v>
      </c>
      <c r="AB206" s="236">
        <f>Y206*AA206</f>
        <v>2.529342492677038</v>
      </c>
      <c r="AC206" s="237">
        <v>6</v>
      </c>
    </row>
    <row r="207" spans="1:29">
      <c r="A207" s="262"/>
      <c r="B207" s="234" t="s">
        <v>332</v>
      </c>
      <c r="C207" s="222">
        <f>'11.Riep. dim. travi e pil.'!$B$16</f>
        <v>30</v>
      </c>
      <c r="D207" s="202">
        <f>'11.Riep. dim. travi e pil.'!$C$16</f>
        <v>65</v>
      </c>
      <c r="E207" s="260">
        <f>C207*D207^3/12</f>
        <v>686562.5</v>
      </c>
      <c r="F207" s="203">
        <v>5.85</v>
      </c>
      <c r="G207" s="31"/>
      <c r="H207" s="223">
        <f>$C$1*E207/F207/100</f>
        <v>36968750</v>
      </c>
      <c r="I207" s="31"/>
      <c r="J207" s="31"/>
      <c r="K207" s="329" t="s">
        <v>364</v>
      </c>
      <c r="L207" s="31"/>
      <c r="M207" s="31"/>
      <c r="N207" s="32"/>
      <c r="Q207" s="234" t="s">
        <v>332</v>
      </c>
      <c r="R207" s="222">
        <f>'11.Riep. dim. travi e pil.'!$D$16</f>
        <v>50</v>
      </c>
      <c r="S207" s="202">
        <f>'11.Riep. dim. travi e pil.'!$E$16</f>
        <v>26</v>
      </c>
      <c r="T207" s="260">
        <f>R207*S207^3/12</f>
        <v>73233.333333333328</v>
      </c>
      <c r="U207" s="203">
        <v>4.5999999999999996</v>
      </c>
      <c r="V207" s="31"/>
      <c r="W207" s="223">
        <f>$C$1*T207/U207/100</f>
        <v>5014891.3043478262</v>
      </c>
      <c r="X207" s="31"/>
      <c r="Y207" s="31"/>
      <c r="Z207" s="329" t="s">
        <v>364</v>
      </c>
      <c r="AA207" s="31"/>
      <c r="AB207" s="31"/>
      <c r="AC207" s="32"/>
    </row>
    <row r="208" spans="1:29">
      <c r="A208" s="31"/>
      <c r="B208" s="234" t="s">
        <v>333</v>
      </c>
      <c r="C208" s="222">
        <v>30</v>
      </c>
      <c r="D208" s="202">
        <f>IF(C208=0,0,'11.Riep. dim. travi e pil.'!$C$16)</f>
        <v>65</v>
      </c>
      <c r="E208" s="260">
        <f t="shared" ref="E208:E210" si="40">C208*D208^3/12</f>
        <v>686562.5</v>
      </c>
      <c r="F208" s="207">
        <v>4.6500000000000004</v>
      </c>
      <c r="G208" s="31"/>
      <c r="H208" s="223">
        <f>IF(C208=0,0,$C$1*E208/F208/100)</f>
        <v>46509072.580645159</v>
      </c>
      <c r="I208" s="31"/>
      <c r="J208" s="31"/>
      <c r="K208" s="329"/>
      <c r="L208" s="31"/>
      <c r="M208" s="31"/>
      <c r="N208" s="32"/>
      <c r="Q208" s="234" t="s">
        <v>333</v>
      </c>
      <c r="R208" s="222">
        <v>0</v>
      </c>
      <c r="S208" s="202">
        <f>IF(R208=0,0,'11.Riep. dim. travi e pil.'!$E$16)</f>
        <v>0</v>
      </c>
      <c r="T208" s="260">
        <f t="shared" ref="T208:T210" si="41">R208*S208^3/12</f>
        <v>0</v>
      </c>
      <c r="U208" s="207">
        <v>0</v>
      </c>
      <c r="V208" s="31"/>
      <c r="W208" s="223">
        <f>IF(R208=0,0,$C$1*T208/U208/100)</f>
        <v>0</v>
      </c>
      <c r="X208" s="31"/>
      <c r="Y208" s="31"/>
      <c r="Z208" s="329"/>
      <c r="AA208" s="31"/>
      <c r="AB208" s="31"/>
      <c r="AC208" s="32"/>
    </row>
    <row r="209" spans="1:29">
      <c r="A209" s="31"/>
      <c r="B209" s="235" t="s">
        <v>371</v>
      </c>
      <c r="C209" s="222">
        <f>C207</f>
        <v>30</v>
      </c>
      <c r="D209" s="202">
        <f>IF(C209=0,0,'11.Riep. dim. travi e pil.'!$C$17)</f>
        <v>65</v>
      </c>
      <c r="E209" s="260">
        <f t="shared" si="40"/>
        <v>686562.5</v>
      </c>
      <c r="F209" s="207"/>
      <c r="G209" s="31"/>
      <c r="H209" s="31"/>
      <c r="I209" s="225">
        <f>IF(C209=0,10^99,$C$1*E209/F207/100)</f>
        <v>36968750</v>
      </c>
      <c r="J209" s="31"/>
      <c r="K209" s="226">
        <f>G206/(I209+I210)*2</f>
        <v>2.0223372781065088</v>
      </c>
      <c r="L209" s="31"/>
      <c r="M209" s="31"/>
      <c r="N209" s="32"/>
      <c r="Q209" s="235" t="s">
        <v>371</v>
      </c>
      <c r="R209" s="222">
        <f>'11.Riep. dim. travi e pil.'!$D$17</f>
        <v>50</v>
      </c>
      <c r="S209" s="202">
        <f>IF(R209=0,0,'11.Riep. dim. travi e pil.'!$E$17)</f>
        <v>26</v>
      </c>
      <c r="T209" s="260">
        <f t="shared" si="41"/>
        <v>73233.333333333328</v>
      </c>
      <c r="U209" s="207"/>
      <c r="V209" s="31"/>
      <c r="W209" s="31"/>
      <c r="X209" s="225">
        <f>IF(R209=0,10^99,$C$1*T209/U207/100)</f>
        <v>5014891.3043478262</v>
      </c>
      <c r="Y209" s="31"/>
      <c r="Z209" s="226">
        <f>V206/(X209+X210)*2</f>
        <v>6.1831474738279475</v>
      </c>
      <c r="AA209" s="31"/>
      <c r="AB209" s="31"/>
      <c r="AC209" s="32"/>
    </row>
    <row r="210" spans="1:29">
      <c r="A210" s="257"/>
      <c r="B210" s="235" t="s">
        <v>372</v>
      </c>
      <c r="C210" s="253">
        <f>C208</f>
        <v>30</v>
      </c>
      <c r="D210" s="254">
        <f>IF(C210=0,0,'11.Riep. dim. travi e pil.'!$C$17)</f>
        <v>65</v>
      </c>
      <c r="E210" s="41">
        <f t="shared" si="40"/>
        <v>686562.5</v>
      </c>
      <c r="F210" s="255"/>
      <c r="G210" s="42"/>
      <c r="H210" s="42"/>
      <c r="I210" s="230">
        <f>IF(C210=0,0,$C$1*E210/F208/100)</f>
        <v>46509072.580645159</v>
      </c>
      <c r="J210" s="42"/>
      <c r="K210" s="42"/>
      <c r="L210" s="42"/>
      <c r="M210" s="42"/>
      <c r="N210" s="44"/>
      <c r="Q210" s="235" t="s">
        <v>372</v>
      </c>
      <c r="R210" s="253">
        <f>R208</f>
        <v>0</v>
      </c>
      <c r="S210" s="254">
        <f>IF(R210=0,0,'11.Riep. dim. travi e pil.'!$E$17)</f>
        <v>0</v>
      </c>
      <c r="T210" s="41">
        <f t="shared" si="41"/>
        <v>0</v>
      </c>
      <c r="U210" s="255"/>
      <c r="V210" s="42"/>
      <c r="W210" s="42"/>
      <c r="X210" s="230">
        <f>IF(R210=0,0,$C$1*T210/U208/100)</f>
        <v>0</v>
      </c>
      <c r="Y210" s="42"/>
      <c r="Z210" s="42"/>
      <c r="AA210" s="42"/>
      <c r="AB210" s="42"/>
      <c r="AC210" s="44"/>
    </row>
    <row r="211" spans="1:29">
      <c r="A211" s="258"/>
      <c r="B211" s="467" t="s">
        <v>382</v>
      </c>
      <c r="C211" s="468"/>
      <c r="D211" s="468"/>
      <c r="E211" s="468"/>
      <c r="F211" s="468"/>
      <c r="Q211" s="467" t="s">
        <v>386</v>
      </c>
      <c r="R211" s="468"/>
      <c r="S211" s="468"/>
      <c r="T211" s="468"/>
      <c r="U211" s="468"/>
    </row>
    <row r="212" spans="1:29">
      <c r="B212" s="341"/>
      <c r="C212" s="469" t="s">
        <v>319</v>
      </c>
      <c r="D212" s="469" t="s">
        <v>323</v>
      </c>
      <c r="E212" s="429" t="s">
        <v>324</v>
      </c>
      <c r="F212" s="469" t="s">
        <v>325</v>
      </c>
      <c r="G212" s="429" t="s">
        <v>365</v>
      </c>
      <c r="H212" s="429" t="s">
        <v>366</v>
      </c>
      <c r="I212" s="429" t="s">
        <v>367</v>
      </c>
      <c r="J212" s="460" t="s">
        <v>368</v>
      </c>
      <c r="K212" s="429" t="s">
        <v>363</v>
      </c>
      <c r="L212" s="461" t="s">
        <v>369</v>
      </c>
      <c r="M212" s="463" t="s">
        <v>370</v>
      </c>
      <c r="N212" s="465" t="s">
        <v>320</v>
      </c>
      <c r="Q212" s="341"/>
      <c r="R212" s="469" t="s">
        <v>319</v>
      </c>
      <c r="S212" s="469" t="s">
        <v>323</v>
      </c>
      <c r="T212" s="429" t="s">
        <v>324</v>
      </c>
      <c r="U212" s="469" t="s">
        <v>325</v>
      </c>
      <c r="V212" s="429" t="s">
        <v>365</v>
      </c>
      <c r="W212" s="429" t="s">
        <v>366</v>
      </c>
      <c r="X212" s="429" t="s">
        <v>367</v>
      </c>
      <c r="Y212" s="460" t="s">
        <v>368</v>
      </c>
      <c r="Z212" s="429" t="s">
        <v>363</v>
      </c>
      <c r="AA212" s="461" t="s">
        <v>369</v>
      </c>
      <c r="AB212" s="463" t="s">
        <v>370</v>
      </c>
      <c r="AC212" s="465" t="s">
        <v>320</v>
      </c>
    </row>
    <row r="213" spans="1:29">
      <c r="B213" s="341"/>
      <c r="C213" s="459"/>
      <c r="D213" s="459"/>
      <c r="E213" s="459"/>
      <c r="F213" s="459"/>
      <c r="G213" s="459"/>
      <c r="H213" s="459"/>
      <c r="I213" s="459"/>
      <c r="J213" s="459"/>
      <c r="K213" s="459"/>
      <c r="L213" s="462"/>
      <c r="M213" s="464"/>
      <c r="N213" s="466"/>
      <c r="Q213" s="341"/>
      <c r="R213" s="459"/>
      <c r="S213" s="459"/>
      <c r="T213" s="459"/>
      <c r="U213" s="459"/>
      <c r="V213" s="459"/>
      <c r="W213" s="459"/>
      <c r="X213" s="459"/>
      <c r="Y213" s="459"/>
      <c r="Z213" s="459"/>
      <c r="AA213" s="462"/>
      <c r="AB213" s="464"/>
      <c r="AC213" s="466"/>
    </row>
    <row r="214" spans="1:29">
      <c r="B214" s="87" t="s">
        <v>314</v>
      </c>
      <c r="C214" s="213">
        <f>'11.Riep. dim. travi e pil.'!$C$6</f>
        <v>70</v>
      </c>
      <c r="D214" s="214">
        <f>'11.Riep. dim. travi e pil.'!$B$6</f>
        <v>30</v>
      </c>
      <c r="E214" s="215">
        <f>C214*D214^3/12</f>
        <v>157500</v>
      </c>
      <c r="F214" s="216">
        <v>3.2</v>
      </c>
      <c r="G214" s="217">
        <f>$C$1*E214/F214/100</f>
        <v>15503906.25</v>
      </c>
      <c r="H214" s="218"/>
      <c r="I214" s="218"/>
      <c r="J214" s="219">
        <f>12*G214/F214^2/1000000</f>
        <v>18.168640136718746</v>
      </c>
      <c r="K214" s="220">
        <f>G214/(H215+H216)*2</f>
        <v>0.71688666363222575</v>
      </c>
      <c r="L214" s="221">
        <f>1/(1+0.5*(K214+K217+2/3*K214*K217)/(1+(K214+K217)/6))</f>
        <v>0.58244962884411455</v>
      </c>
      <c r="M214" s="236">
        <f>J214*L214</f>
        <v>10.582317704234116</v>
      </c>
      <c r="N214" s="237">
        <v>16</v>
      </c>
      <c r="Q214" s="87" t="s">
        <v>314</v>
      </c>
      <c r="R214" s="213">
        <f>'11.Riep. dim. travi e pil.'!$C$7</f>
        <v>70</v>
      </c>
      <c r="S214" s="214">
        <f>'11.Riep. dim. travi e pil.'!$B$7</f>
        <v>30</v>
      </c>
      <c r="T214" s="215">
        <f>R214*S214^3/12</f>
        <v>157500</v>
      </c>
      <c r="U214" s="216">
        <v>3.2</v>
      </c>
      <c r="V214" s="217">
        <f>$C$1*T214/U214/100</f>
        <v>15503906.25</v>
      </c>
      <c r="W214" s="218"/>
      <c r="X214" s="218"/>
      <c r="Y214" s="219">
        <f>12*V214/U214^2/1000000</f>
        <v>18.168640136718746</v>
      </c>
      <c r="Z214" s="220">
        <f>V214/(W215+W216)*2</f>
        <v>2.0162437414656349</v>
      </c>
      <c r="AA214" s="221">
        <f>1/(1+0.5*(Z214+Z217+2/3*Z214*Z217)/(1+(Z214+Z217)/6))</f>
        <v>0.33153819310175714</v>
      </c>
      <c r="AB214" s="236">
        <f>Y214*AA214</f>
        <v>6.0235981220437953</v>
      </c>
      <c r="AC214" s="237">
        <v>2</v>
      </c>
    </row>
    <row r="215" spans="1:29">
      <c r="A215" s="259"/>
      <c r="B215" s="234" t="s">
        <v>332</v>
      </c>
      <c r="C215" s="222">
        <f>'11.Riep. dim. travi e pil.'!$B$16</f>
        <v>30</v>
      </c>
      <c r="D215" s="202">
        <f>'11.Riep. dim. travi e pil.'!$C$16</f>
        <v>65</v>
      </c>
      <c r="E215" s="260">
        <f>C215*D215^3/12</f>
        <v>686562.5</v>
      </c>
      <c r="F215" s="203">
        <v>5</v>
      </c>
      <c r="G215" s="31"/>
      <c r="H215" s="223">
        <f>$C$1*E215/F215/100</f>
        <v>43253437.5</v>
      </c>
      <c r="I215" s="31"/>
      <c r="J215" s="31"/>
      <c r="K215" s="329" t="s">
        <v>364</v>
      </c>
      <c r="L215" s="31"/>
      <c r="M215" s="31"/>
      <c r="N215" s="32"/>
      <c r="Q215" s="234" t="s">
        <v>332</v>
      </c>
      <c r="R215" s="222">
        <f>'11.Riep. dim. travi e pil.'!$D$16</f>
        <v>50</v>
      </c>
      <c r="S215" s="202">
        <f>'11.Riep. dim. travi e pil.'!$E$16</f>
        <v>26</v>
      </c>
      <c r="T215" s="260">
        <f>R215*S215^3/12</f>
        <v>73233.333333333328</v>
      </c>
      <c r="U215" s="203">
        <v>4.2</v>
      </c>
      <c r="V215" s="31"/>
      <c r="W215" s="223">
        <f>$C$1*T215/U215/100</f>
        <v>5492500</v>
      </c>
      <c r="X215" s="31"/>
      <c r="Y215" s="31"/>
      <c r="Z215" s="329" t="s">
        <v>364</v>
      </c>
      <c r="AA215" s="31"/>
      <c r="AB215" s="31"/>
      <c r="AC215" s="32"/>
    </row>
    <row r="216" spans="1:29">
      <c r="A216" s="31"/>
      <c r="B216" s="234" t="s">
        <v>333</v>
      </c>
      <c r="C216" s="222">
        <v>0</v>
      </c>
      <c r="D216" s="202">
        <f>IF(C216=0,0,'11.Riep. dim. travi e pil.'!$C$16)</f>
        <v>0</v>
      </c>
      <c r="E216" s="260">
        <f t="shared" ref="E216:E218" si="42">C216*D216^3/12</f>
        <v>0</v>
      </c>
      <c r="F216" s="207">
        <v>0</v>
      </c>
      <c r="G216" s="31"/>
      <c r="H216" s="223">
        <f>IF(C216=0,0,$C$1*E216/F216/100)</f>
        <v>0</v>
      </c>
      <c r="I216" s="31"/>
      <c r="J216" s="31"/>
      <c r="K216" s="329"/>
      <c r="L216" s="31"/>
      <c r="M216" s="31"/>
      <c r="N216" s="32"/>
      <c r="Q216" s="234" t="s">
        <v>333</v>
      </c>
      <c r="R216" s="222">
        <v>60</v>
      </c>
      <c r="S216" s="202">
        <f>IF(R216=0,0,'11.Riep. dim. travi e pil.'!$E$16)</f>
        <v>26</v>
      </c>
      <c r="T216" s="260">
        <f t="shared" ref="T216:T218" si="43">R216*S216^3/12</f>
        <v>87880</v>
      </c>
      <c r="U216" s="207">
        <v>2.8</v>
      </c>
      <c r="V216" s="31"/>
      <c r="W216" s="223">
        <f>IF(R216=0,0,$C$1*T216/U216/100)</f>
        <v>9886500.0000000019</v>
      </c>
      <c r="X216" s="31"/>
      <c r="Y216" s="31"/>
      <c r="Z216" s="329"/>
      <c r="AA216" s="31"/>
      <c r="AB216" s="31"/>
      <c r="AC216" s="32"/>
    </row>
    <row r="217" spans="1:29">
      <c r="A217" s="245"/>
      <c r="B217" s="235" t="s">
        <v>371</v>
      </c>
      <c r="C217" s="222">
        <f>C215</f>
        <v>30</v>
      </c>
      <c r="D217" s="202">
        <f>IF(C217=0,0,'11.Riep. dim. travi e pil.'!$C$17)</f>
        <v>65</v>
      </c>
      <c r="E217" s="260">
        <f t="shared" si="42"/>
        <v>686562.5</v>
      </c>
      <c r="F217" s="207"/>
      <c r="G217" s="31"/>
      <c r="H217" s="31"/>
      <c r="I217" s="225">
        <f>IF(C217=0,10^99,$C$1*E217/F215/100)</f>
        <v>43253437.5</v>
      </c>
      <c r="J217" s="31"/>
      <c r="K217" s="226">
        <f>G214/(I217+I218)*2</f>
        <v>0.71688666363222575</v>
      </c>
      <c r="L217" s="31"/>
      <c r="M217" s="31"/>
      <c r="N217" s="32"/>
      <c r="Q217" s="235" t="s">
        <v>371</v>
      </c>
      <c r="R217" s="222">
        <f>'11.Riep. dim. travi e pil.'!$D$17</f>
        <v>50</v>
      </c>
      <c r="S217" s="202">
        <f>IF(R217=0,0,'11.Riep. dim. travi e pil.'!$E$17)</f>
        <v>26</v>
      </c>
      <c r="T217" s="260">
        <f t="shared" si="43"/>
        <v>73233.333333333328</v>
      </c>
      <c r="U217" s="207"/>
      <c r="V217" s="31"/>
      <c r="W217" s="31"/>
      <c r="X217" s="225">
        <f>IF(R217=0,10^99,$C$1*T217/U215/100)</f>
        <v>5492500</v>
      </c>
      <c r="Y217" s="31"/>
      <c r="Z217" s="226">
        <f>V214/(X217+X218)*2</f>
        <v>2.0162437414656349</v>
      </c>
      <c r="AA217" s="31"/>
      <c r="AB217" s="31"/>
      <c r="AC217" s="32"/>
    </row>
    <row r="218" spans="1:29" ht="15.75" thickBot="1">
      <c r="A218" s="245"/>
      <c r="B218" s="235" t="s">
        <v>372</v>
      </c>
      <c r="C218" s="253">
        <f>C216</f>
        <v>0</v>
      </c>
      <c r="D218" s="254">
        <f>IF(C218=0,0,'11.Riep. dim. travi e pil.'!$C$17)</f>
        <v>0</v>
      </c>
      <c r="E218" s="41">
        <f t="shared" si="42"/>
        <v>0</v>
      </c>
      <c r="F218" s="255"/>
      <c r="G218" s="42"/>
      <c r="H218" s="42"/>
      <c r="I218" s="230">
        <f>IF(C218=0,0,$C$1*E218/F216/100)</f>
        <v>0</v>
      </c>
      <c r="J218" s="42"/>
      <c r="K218" s="42"/>
      <c r="L218" s="42"/>
      <c r="M218" s="42"/>
      <c r="N218" s="44"/>
      <c r="Q218" s="235" t="s">
        <v>372</v>
      </c>
      <c r="R218" s="253">
        <f>R216</f>
        <v>60</v>
      </c>
      <c r="S218" s="254">
        <f>IF(R218=0,0,'11.Riep. dim. travi e pil.'!$E$17)</f>
        <v>26</v>
      </c>
      <c r="T218" s="41">
        <f t="shared" si="43"/>
        <v>87880</v>
      </c>
      <c r="U218" s="255"/>
      <c r="V218" s="42"/>
      <c r="W218" s="42"/>
      <c r="X218" s="230">
        <f>IF(R218=0,0,$C$1*T218/U216/100)</f>
        <v>9886500.0000000019</v>
      </c>
      <c r="Y218" s="42"/>
      <c r="Z218" s="42"/>
      <c r="AA218" s="42"/>
      <c r="AB218" s="42"/>
      <c r="AC218" s="44"/>
    </row>
    <row r="219" spans="1:29" ht="19.5" thickBot="1">
      <c r="A219" s="260"/>
      <c r="B219" s="455" t="s">
        <v>133</v>
      </c>
      <c r="C219" s="456"/>
      <c r="D219" s="456"/>
      <c r="E219" s="456"/>
      <c r="F219" s="456"/>
      <c r="M219" s="248">
        <f>M190*N190+M198*N198+M206*N206+M214*N214</f>
        <v>562.85224579227395</v>
      </c>
      <c r="N219" s="181" t="s">
        <v>326</v>
      </c>
      <c r="Q219" s="467" t="s">
        <v>382</v>
      </c>
      <c r="R219" s="468"/>
      <c r="S219" s="468"/>
      <c r="T219" s="468"/>
      <c r="U219" s="468"/>
    </row>
    <row r="220" spans="1:29" ht="15.75">
      <c r="A220" s="31"/>
      <c r="B220" s="457" t="s">
        <v>328</v>
      </c>
      <c r="C220" s="458"/>
      <c r="D220" s="458"/>
      <c r="E220" s="458"/>
      <c r="F220" s="458"/>
      <c r="G220" s="458"/>
      <c r="H220" s="42"/>
      <c r="I220" s="42"/>
      <c r="J220" s="42"/>
      <c r="K220" s="42"/>
      <c r="L220" s="42"/>
      <c r="M220" s="42"/>
      <c r="N220" s="182">
        <f>M219/M190</f>
        <v>12.850692942744654</v>
      </c>
      <c r="Q220" s="341"/>
      <c r="R220" s="469" t="s">
        <v>319</v>
      </c>
      <c r="S220" s="469" t="s">
        <v>323</v>
      </c>
      <c r="T220" s="429" t="s">
        <v>324</v>
      </c>
      <c r="U220" s="469" t="s">
        <v>325</v>
      </c>
      <c r="V220" s="429" t="s">
        <v>365</v>
      </c>
      <c r="W220" s="429" t="s">
        <v>366</v>
      </c>
      <c r="X220" s="429" t="s">
        <v>367</v>
      </c>
      <c r="Y220" s="460" t="s">
        <v>368</v>
      </c>
      <c r="Z220" s="429" t="s">
        <v>363</v>
      </c>
      <c r="AA220" s="461" t="s">
        <v>369</v>
      </c>
      <c r="AB220" s="463" t="s">
        <v>370</v>
      </c>
      <c r="AC220" s="465" t="s">
        <v>320</v>
      </c>
    </row>
    <row r="221" spans="1:29">
      <c r="A221" s="31"/>
      <c r="Q221" s="341"/>
      <c r="R221" s="459"/>
      <c r="S221" s="459"/>
      <c r="T221" s="459"/>
      <c r="U221" s="459"/>
      <c r="V221" s="459"/>
      <c r="W221" s="459"/>
      <c r="X221" s="459"/>
      <c r="Y221" s="459"/>
      <c r="Z221" s="459"/>
      <c r="AA221" s="462"/>
      <c r="AB221" s="464"/>
      <c r="AC221" s="466"/>
    </row>
    <row r="222" spans="1:29">
      <c r="A222" s="31"/>
      <c r="Q222" s="87" t="s">
        <v>314</v>
      </c>
      <c r="R222" s="213">
        <f>'11.Riep. dim. travi e pil.'!$C$6</f>
        <v>70</v>
      </c>
      <c r="S222" s="214">
        <f>'11.Riep. dim. travi e pil.'!$B$6</f>
        <v>30</v>
      </c>
      <c r="T222" s="215">
        <f>R222*S222^3/12</f>
        <v>157500</v>
      </c>
      <c r="U222" s="216">
        <v>3.2</v>
      </c>
      <c r="V222" s="217">
        <f>$C$1*T222/U222/100</f>
        <v>15503906.25</v>
      </c>
      <c r="W222" s="218"/>
      <c r="X222" s="218"/>
      <c r="Y222" s="219">
        <f>12*V222/U222^2/1000000</f>
        <v>18.168640136718746</v>
      </c>
      <c r="Z222" s="220">
        <f>V222/(W223+W224)*2</f>
        <v>0.55917159763313606</v>
      </c>
      <c r="AA222" s="221">
        <f>1/(1+0.5*(Z222+Z225+2/3*Z222*Z225)/(1+(Z222+Z225)/6))</f>
        <v>0.64136622390891851</v>
      </c>
      <c r="AB222" s="236">
        <f>Y222*AA222</f>
        <v>11.652752118047319</v>
      </c>
      <c r="AC222" s="237">
        <v>6</v>
      </c>
    </row>
    <row r="223" spans="1:29">
      <c r="A223" s="260"/>
      <c r="Q223" s="234" t="s">
        <v>332</v>
      </c>
      <c r="R223" s="222">
        <f>'11.Riep. dim. travi e pil.'!$B$16</f>
        <v>30</v>
      </c>
      <c r="S223" s="202">
        <f>'11.Riep. dim. travi e pil.'!$C$16</f>
        <v>65</v>
      </c>
      <c r="T223" s="260">
        <f>R223*S223^3/12</f>
        <v>686562.5</v>
      </c>
      <c r="U223" s="203">
        <v>3.9</v>
      </c>
      <c r="V223" s="31"/>
      <c r="W223" s="223">
        <f>$C$1*T223/U223/100</f>
        <v>55453125</v>
      </c>
      <c r="X223" s="31"/>
      <c r="Y223" s="31"/>
      <c r="Z223" s="329" t="s">
        <v>364</v>
      </c>
      <c r="AA223" s="31"/>
      <c r="AB223" s="31"/>
      <c r="AC223" s="32"/>
    </row>
    <row r="224" spans="1:29">
      <c r="A224" s="31"/>
      <c r="Q224" s="234" t="s">
        <v>333</v>
      </c>
      <c r="R224" s="222">
        <v>0</v>
      </c>
      <c r="S224" s="202">
        <f>IF(R224=0,0,'11.Riep. dim. travi e pil.'!$C$16)</f>
        <v>0</v>
      </c>
      <c r="T224" s="260">
        <f t="shared" ref="T224:T226" si="44">R224*S224^3/12</f>
        <v>0</v>
      </c>
      <c r="U224" s="207">
        <v>0</v>
      </c>
      <c r="V224" s="31"/>
      <c r="W224" s="223">
        <f>IF(R224=0,0,$C$1*T224/U224/100)</f>
        <v>0</v>
      </c>
      <c r="X224" s="31"/>
      <c r="Y224" s="31"/>
      <c r="Z224" s="329"/>
      <c r="AA224" s="31"/>
      <c r="AB224" s="31"/>
      <c r="AC224" s="32"/>
    </row>
    <row r="225" spans="1:29">
      <c r="A225" s="31"/>
      <c r="Q225" s="235" t="s">
        <v>371</v>
      </c>
      <c r="R225" s="222">
        <f>R223</f>
        <v>30</v>
      </c>
      <c r="S225" s="202">
        <f>IF(R225=0,0,'11.Riep. dim. travi e pil.'!$C$17)</f>
        <v>65</v>
      </c>
      <c r="T225" s="260">
        <f t="shared" si="44"/>
        <v>686562.5</v>
      </c>
      <c r="U225" s="207"/>
      <c r="V225" s="31"/>
      <c r="W225" s="31"/>
      <c r="X225" s="225">
        <f>IF(R225=0,10^99,$C$1*T225/U223/100)</f>
        <v>55453125</v>
      </c>
      <c r="Y225" s="31"/>
      <c r="Z225" s="226">
        <f>V222/(X225+X226)*2</f>
        <v>0.55917159763313606</v>
      </c>
      <c r="AA225" s="31"/>
      <c r="AB225" s="31"/>
      <c r="AC225" s="32"/>
    </row>
    <row r="226" spans="1:29" ht="15.75" thickBot="1">
      <c r="A226" s="31"/>
      <c r="Q226" s="235" t="s">
        <v>372</v>
      </c>
      <c r="R226" s="253">
        <f>R224</f>
        <v>0</v>
      </c>
      <c r="S226" s="254">
        <f>IF(R226=0,0,'11.Riep. dim. travi e pil.'!$C$17)</f>
        <v>0</v>
      </c>
      <c r="T226" s="41">
        <f t="shared" si="44"/>
        <v>0</v>
      </c>
      <c r="U226" s="255"/>
      <c r="V226" s="42"/>
      <c r="W226" s="42"/>
      <c r="X226" s="230">
        <f>IF(R226=0,0,$C$1*T226/U224/100)</f>
        <v>0</v>
      </c>
      <c r="Y226" s="42"/>
      <c r="Z226" s="42"/>
      <c r="AA226" s="42"/>
      <c r="AB226" s="42"/>
      <c r="AC226" s="44"/>
    </row>
    <row r="227" spans="1:29" ht="19.5" thickBot="1">
      <c r="A227" s="260"/>
      <c r="Q227" s="455" t="s">
        <v>133</v>
      </c>
      <c r="R227" s="456"/>
      <c r="S227" s="456"/>
      <c r="T227" s="456"/>
      <c r="U227" s="456"/>
      <c r="AB227" s="248">
        <f>AB190*AC190+AB198*AC198+AB206*AC206+AB222*AC222+AB214*AC214</f>
        <v>581.76934838358625</v>
      </c>
      <c r="AC227" s="181" t="s">
        <v>326</v>
      </c>
    </row>
    <row r="228" spans="1:29" ht="15.75">
      <c r="A228" s="31"/>
      <c r="Q228" s="457" t="s">
        <v>328</v>
      </c>
      <c r="R228" s="458"/>
      <c r="S228" s="458"/>
      <c r="T228" s="458"/>
      <c r="U228" s="458"/>
      <c r="V228" s="458"/>
      <c r="W228" s="42"/>
      <c r="X228" s="42"/>
      <c r="Y228" s="42"/>
      <c r="Z228" s="42"/>
      <c r="AA228" s="42"/>
      <c r="AB228" s="42"/>
      <c r="AC228" s="182">
        <f>AB227/AB198</f>
        <v>15.333414455908478</v>
      </c>
    </row>
  </sheetData>
  <mergeCells count="714">
    <mergeCell ref="Q228:V228"/>
    <mergeCell ref="W220:W221"/>
    <mergeCell ref="X220:X221"/>
    <mergeCell ref="Y220:Y221"/>
    <mergeCell ref="Z220:Z221"/>
    <mergeCell ref="AA220:AA221"/>
    <mergeCell ref="AB220:AB221"/>
    <mergeCell ref="AC220:AC221"/>
    <mergeCell ref="Z223:Z224"/>
    <mergeCell ref="Q227:U227"/>
    <mergeCell ref="B219:F219"/>
    <mergeCell ref="Q219:U219"/>
    <mergeCell ref="B220:G220"/>
    <mergeCell ref="Q220:Q221"/>
    <mergeCell ref="R220:R221"/>
    <mergeCell ref="S220:S221"/>
    <mergeCell ref="T220:T221"/>
    <mergeCell ref="U220:U221"/>
    <mergeCell ref="V220:V221"/>
    <mergeCell ref="V212:V213"/>
    <mergeCell ref="W212:W213"/>
    <mergeCell ref="X212:X213"/>
    <mergeCell ref="Y212:Y213"/>
    <mergeCell ref="Z212:Z213"/>
    <mergeCell ref="AA212:AA213"/>
    <mergeCell ref="AB212:AB213"/>
    <mergeCell ref="AC212:AC213"/>
    <mergeCell ref="K215:K216"/>
    <mergeCell ref="Z215:Z216"/>
    <mergeCell ref="B211:F211"/>
    <mergeCell ref="Q211:U211"/>
    <mergeCell ref="B212:B213"/>
    <mergeCell ref="C212:C213"/>
    <mergeCell ref="D212:D213"/>
    <mergeCell ref="E212:E213"/>
    <mergeCell ref="F212:F213"/>
    <mergeCell ref="G212:G213"/>
    <mergeCell ref="H212:H213"/>
    <mergeCell ref="I212:I213"/>
    <mergeCell ref="J212:J213"/>
    <mergeCell ref="K212:K213"/>
    <mergeCell ref="L212:L213"/>
    <mergeCell ref="M212:M213"/>
    <mergeCell ref="N212:N213"/>
    <mergeCell ref="Q212:Q213"/>
    <mergeCell ref="R212:R213"/>
    <mergeCell ref="S212:S213"/>
    <mergeCell ref="T212:T213"/>
    <mergeCell ref="U212:U213"/>
    <mergeCell ref="V204:V205"/>
    <mergeCell ref="W204:W205"/>
    <mergeCell ref="X204:X205"/>
    <mergeCell ref="Y204:Y205"/>
    <mergeCell ref="Z204:Z205"/>
    <mergeCell ref="AA204:AA205"/>
    <mergeCell ref="AB204:AB205"/>
    <mergeCell ref="AC204:AC205"/>
    <mergeCell ref="K207:K208"/>
    <mergeCell ref="Z207:Z208"/>
    <mergeCell ref="B203:F203"/>
    <mergeCell ref="Q203:U203"/>
    <mergeCell ref="B204:B205"/>
    <mergeCell ref="C204:C205"/>
    <mergeCell ref="D204:D205"/>
    <mergeCell ref="E204:E205"/>
    <mergeCell ref="F204:F205"/>
    <mergeCell ref="G204:G205"/>
    <mergeCell ref="H204:H205"/>
    <mergeCell ref="I204:I205"/>
    <mergeCell ref="J204:J205"/>
    <mergeCell ref="K204:K205"/>
    <mergeCell ref="L204:L205"/>
    <mergeCell ref="M204:M205"/>
    <mergeCell ref="N204:N205"/>
    <mergeCell ref="Q204:Q205"/>
    <mergeCell ref="R204:R205"/>
    <mergeCell ref="S204:S205"/>
    <mergeCell ref="T204:T205"/>
    <mergeCell ref="U204:U205"/>
    <mergeCell ref="V196:V197"/>
    <mergeCell ref="W196:W197"/>
    <mergeCell ref="X196:X197"/>
    <mergeCell ref="Y196:Y197"/>
    <mergeCell ref="Z196:Z197"/>
    <mergeCell ref="AA196:AA197"/>
    <mergeCell ref="AB196:AB197"/>
    <mergeCell ref="AC196:AC197"/>
    <mergeCell ref="K199:K200"/>
    <mergeCell ref="Z199:Z200"/>
    <mergeCell ref="K196:K197"/>
    <mergeCell ref="L196:L197"/>
    <mergeCell ref="M196:M197"/>
    <mergeCell ref="N196:N197"/>
    <mergeCell ref="Q196:Q197"/>
    <mergeCell ref="R196:R197"/>
    <mergeCell ref="S196:S197"/>
    <mergeCell ref="T196:T197"/>
    <mergeCell ref="U196:U197"/>
    <mergeCell ref="B196:B197"/>
    <mergeCell ref="C196:C197"/>
    <mergeCell ref="D196:D197"/>
    <mergeCell ref="E196:E197"/>
    <mergeCell ref="F196:F197"/>
    <mergeCell ref="G196:G197"/>
    <mergeCell ref="H196:H197"/>
    <mergeCell ref="I196:I197"/>
    <mergeCell ref="J196:J197"/>
    <mergeCell ref="X188:X189"/>
    <mergeCell ref="Y188:Y189"/>
    <mergeCell ref="Z188:Z189"/>
    <mergeCell ref="AA188:AA189"/>
    <mergeCell ref="AB188:AB189"/>
    <mergeCell ref="AC188:AC189"/>
    <mergeCell ref="K191:K192"/>
    <mergeCell ref="Z191:Z192"/>
    <mergeCell ref="B195:F195"/>
    <mergeCell ref="Q195:U195"/>
    <mergeCell ref="B186:M186"/>
    <mergeCell ref="Q186:AB186"/>
    <mergeCell ref="B187:F187"/>
    <mergeCell ref="Q187:U187"/>
    <mergeCell ref="B188:B189"/>
    <mergeCell ref="C188:C189"/>
    <mergeCell ref="D188:D189"/>
    <mergeCell ref="E188:E189"/>
    <mergeCell ref="F188:F189"/>
    <mergeCell ref="G188:G189"/>
    <mergeCell ref="H188:H189"/>
    <mergeCell ref="I188:I189"/>
    <mergeCell ref="J188:J189"/>
    <mergeCell ref="K188:K189"/>
    <mergeCell ref="L188:L189"/>
    <mergeCell ref="M188:M189"/>
    <mergeCell ref="N188:N189"/>
    <mergeCell ref="Q188:Q189"/>
    <mergeCell ref="R188:R189"/>
    <mergeCell ref="S188:S189"/>
    <mergeCell ref="T188:T189"/>
    <mergeCell ref="U188:U189"/>
    <mergeCell ref="V188:V189"/>
    <mergeCell ref="W188:W189"/>
    <mergeCell ref="Q182:V182"/>
    <mergeCell ref="W174:W175"/>
    <mergeCell ref="X174:X175"/>
    <mergeCell ref="Y174:Y175"/>
    <mergeCell ref="Z174:Z175"/>
    <mergeCell ref="AA174:AA175"/>
    <mergeCell ref="AB174:AB175"/>
    <mergeCell ref="AC174:AC175"/>
    <mergeCell ref="Z177:Z178"/>
    <mergeCell ref="Q181:U181"/>
    <mergeCell ref="B173:F173"/>
    <mergeCell ref="Q173:U173"/>
    <mergeCell ref="B174:G174"/>
    <mergeCell ref="Q174:Q175"/>
    <mergeCell ref="R174:R175"/>
    <mergeCell ref="S174:S175"/>
    <mergeCell ref="T174:T175"/>
    <mergeCell ref="U174:U175"/>
    <mergeCell ref="V174:V175"/>
    <mergeCell ref="V166:V167"/>
    <mergeCell ref="W166:W167"/>
    <mergeCell ref="X166:X167"/>
    <mergeCell ref="Y166:Y167"/>
    <mergeCell ref="Z166:Z167"/>
    <mergeCell ref="AA166:AA167"/>
    <mergeCell ref="AB166:AB167"/>
    <mergeCell ref="AC166:AC167"/>
    <mergeCell ref="K169:K170"/>
    <mergeCell ref="Z169:Z170"/>
    <mergeCell ref="B165:F165"/>
    <mergeCell ref="Q165:U165"/>
    <mergeCell ref="B166:B167"/>
    <mergeCell ref="C166:C167"/>
    <mergeCell ref="D166:D167"/>
    <mergeCell ref="E166:E167"/>
    <mergeCell ref="F166:F167"/>
    <mergeCell ref="G166:G167"/>
    <mergeCell ref="H166:H167"/>
    <mergeCell ref="I166:I167"/>
    <mergeCell ref="J166:J167"/>
    <mergeCell ref="K166:K167"/>
    <mergeCell ref="L166:L167"/>
    <mergeCell ref="M166:M167"/>
    <mergeCell ref="N166:N167"/>
    <mergeCell ref="Q166:Q167"/>
    <mergeCell ref="R166:R167"/>
    <mergeCell ref="S166:S167"/>
    <mergeCell ref="T166:T167"/>
    <mergeCell ref="U166:U167"/>
    <mergeCell ref="V158:V159"/>
    <mergeCell ref="W158:W159"/>
    <mergeCell ref="X158:X159"/>
    <mergeCell ref="Y158:Y159"/>
    <mergeCell ref="Z158:Z159"/>
    <mergeCell ref="AA158:AA159"/>
    <mergeCell ref="AB158:AB159"/>
    <mergeCell ref="AC158:AC159"/>
    <mergeCell ref="K161:K162"/>
    <mergeCell ref="Z161:Z162"/>
    <mergeCell ref="B157:F157"/>
    <mergeCell ref="Q157:U157"/>
    <mergeCell ref="B158:B159"/>
    <mergeCell ref="C158:C159"/>
    <mergeCell ref="D158:D159"/>
    <mergeCell ref="E158:E159"/>
    <mergeCell ref="F158:F159"/>
    <mergeCell ref="G158:G159"/>
    <mergeCell ref="H158:H159"/>
    <mergeCell ref="I158:I159"/>
    <mergeCell ref="J158:J159"/>
    <mergeCell ref="K158:K159"/>
    <mergeCell ref="L158:L159"/>
    <mergeCell ref="M158:M159"/>
    <mergeCell ref="N158:N159"/>
    <mergeCell ref="Q158:Q159"/>
    <mergeCell ref="R158:R159"/>
    <mergeCell ref="S158:S159"/>
    <mergeCell ref="T158:T159"/>
    <mergeCell ref="U158:U159"/>
    <mergeCell ref="V150:V151"/>
    <mergeCell ref="W150:W151"/>
    <mergeCell ref="X150:X151"/>
    <mergeCell ref="Y150:Y151"/>
    <mergeCell ref="Z150:Z151"/>
    <mergeCell ref="AA150:AA151"/>
    <mergeCell ref="AB150:AB151"/>
    <mergeCell ref="AC150:AC151"/>
    <mergeCell ref="K153:K154"/>
    <mergeCell ref="Z153:Z154"/>
    <mergeCell ref="K150:K151"/>
    <mergeCell ref="L150:L151"/>
    <mergeCell ref="M150:M151"/>
    <mergeCell ref="N150:N151"/>
    <mergeCell ref="Q150:Q151"/>
    <mergeCell ref="R150:R151"/>
    <mergeCell ref="S150:S151"/>
    <mergeCell ref="T150:T151"/>
    <mergeCell ref="U150:U151"/>
    <mergeCell ref="B150:B151"/>
    <mergeCell ref="C150:C151"/>
    <mergeCell ref="D150:D151"/>
    <mergeCell ref="E150:E151"/>
    <mergeCell ref="F150:F151"/>
    <mergeCell ref="G150:G151"/>
    <mergeCell ref="H150:H151"/>
    <mergeCell ref="I150:I151"/>
    <mergeCell ref="J150:J151"/>
    <mergeCell ref="X142:X143"/>
    <mergeCell ref="Y142:Y143"/>
    <mergeCell ref="Z142:Z143"/>
    <mergeCell ref="AA142:AA143"/>
    <mergeCell ref="AB142:AB143"/>
    <mergeCell ref="AC142:AC143"/>
    <mergeCell ref="K145:K146"/>
    <mergeCell ref="Z145:Z146"/>
    <mergeCell ref="B149:F149"/>
    <mergeCell ref="Q149:U149"/>
    <mergeCell ref="B140:M140"/>
    <mergeCell ref="Q140:AB140"/>
    <mergeCell ref="B141:F141"/>
    <mergeCell ref="Q141:U141"/>
    <mergeCell ref="B142:B143"/>
    <mergeCell ref="C142:C143"/>
    <mergeCell ref="D142:D143"/>
    <mergeCell ref="E142:E143"/>
    <mergeCell ref="F142:F143"/>
    <mergeCell ref="G142:G143"/>
    <mergeCell ref="H142:H143"/>
    <mergeCell ref="I142:I143"/>
    <mergeCell ref="J142:J143"/>
    <mergeCell ref="K142:K143"/>
    <mergeCell ref="L142:L143"/>
    <mergeCell ref="M142:M143"/>
    <mergeCell ref="N142:N143"/>
    <mergeCell ref="Q142:Q143"/>
    <mergeCell ref="R142:R143"/>
    <mergeCell ref="S142:S143"/>
    <mergeCell ref="T142:T143"/>
    <mergeCell ref="U142:U143"/>
    <mergeCell ref="V142:V143"/>
    <mergeCell ref="W142:W143"/>
    <mergeCell ref="Q136:V136"/>
    <mergeCell ref="W128:W129"/>
    <mergeCell ref="X128:X129"/>
    <mergeCell ref="Y128:Y129"/>
    <mergeCell ref="Z128:Z129"/>
    <mergeCell ref="AA128:AA129"/>
    <mergeCell ref="AB128:AB129"/>
    <mergeCell ref="AC128:AC129"/>
    <mergeCell ref="Z131:Z132"/>
    <mergeCell ref="Q135:U135"/>
    <mergeCell ref="B127:F127"/>
    <mergeCell ref="Q127:U127"/>
    <mergeCell ref="B128:G128"/>
    <mergeCell ref="Q128:Q129"/>
    <mergeCell ref="R128:R129"/>
    <mergeCell ref="S128:S129"/>
    <mergeCell ref="T128:T129"/>
    <mergeCell ref="U128:U129"/>
    <mergeCell ref="V128:V129"/>
    <mergeCell ref="V120:V121"/>
    <mergeCell ref="W120:W121"/>
    <mergeCell ref="X120:X121"/>
    <mergeCell ref="Y120:Y121"/>
    <mergeCell ref="Z120:Z121"/>
    <mergeCell ref="AA120:AA121"/>
    <mergeCell ref="AB120:AB121"/>
    <mergeCell ref="AC120:AC121"/>
    <mergeCell ref="K123:K124"/>
    <mergeCell ref="Z123:Z124"/>
    <mergeCell ref="B119:F119"/>
    <mergeCell ref="Q119:U119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Q120:Q121"/>
    <mergeCell ref="R120:R121"/>
    <mergeCell ref="S120:S121"/>
    <mergeCell ref="T120:T121"/>
    <mergeCell ref="U120:U121"/>
    <mergeCell ref="V112:V113"/>
    <mergeCell ref="W112:W113"/>
    <mergeCell ref="X112:X113"/>
    <mergeCell ref="Y112:Y113"/>
    <mergeCell ref="Z112:Z113"/>
    <mergeCell ref="AA112:AA113"/>
    <mergeCell ref="AB112:AB113"/>
    <mergeCell ref="AC112:AC113"/>
    <mergeCell ref="K115:K116"/>
    <mergeCell ref="Z115:Z116"/>
    <mergeCell ref="B111:F111"/>
    <mergeCell ref="Q111:U111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L112:L113"/>
    <mergeCell ref="M112:M113"/>
    <mergeCell ref="N112:N113"/>
    <mergeCell ref="Q112:Q113"/>
    <mergeCell ref="R112:R113"/>
    <mergeCell ref="S112:S113"/>
    <mergeCell ref="T112:T113"/>
    <mergeCell ref="U112:U113"/>
    <mergeCell ref="V104:V105"/>
    <mergeCell ref="W104:W105"/>
    <mergeCell ref="X104:X105"/>
    <mergeCell ref="Y104:Y105"/>
    <mergeCell ref="Z104:Z105"/>
    <mergeCell ref="AA104:AA105"/>
    <mergeCell ref="AB104:AB105"/>
    <mergeCell ref="AC104:AC105"/>
    <mergeCell ref="K107:K108"/>
    <mergeCell ref="Z107:Z108"/>
    <mergeCell ref="K104:K105"/>
    <mergeCell ref="L104:L105"/>
    <mergeCell ref="M104:M105"/>
    <mergeCell ref="N104:N105"/>
    <mergeCell ref="Q104:Q105"/>
    <mergeCell ref="R104:R105"/>
    <mergeCell ref="S104:S105"/>
    <mergeCell ref="T104:T105"/>
    <mergeCell ref="U104:U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X96:X97"/>
    <mergeCell ref="Y96:Y97"/>
    <mergeCell ref="Z96:Z97"/>
    <mergeCell ref="AA96:AA97"/>
    <mergeCell ref="AB96:AB97"/>
    <mergeCell ref="AC96:AC97"/>
    <mergeCell ref="K99:K100"/>
    <mergeCell ref="Z99:Z100"/>
    <mergeCell ref="B103:F103"/>
    <mergeCell ref="Q103:U103"/>
    <mergeCell ref="B94:M94"/>
    <mergeCell ref="Q94:AB94"/>
    <mergeCell ref="B95:F95"/>
    <mergeCell ref="Q95:U95"/>
    <mergeCell ref="B96:B97"/>
    <mergeCell ref="C96:C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M96:M97"/>
    <mergeCell ref="N96:N97"/>
    <mergeCell ref="Q96:Q97"/>
    <mergeCell ref="R96:R97"/>
    <mergeCell ref="S96:S97"/>
    <mergeCell ref="T96:T97"/>
    <mergeCell ref="U96:U97"/>
    <mergeCell ref="V96:V97"/>
    <mergeCell ref="W96:W97"/>
    <mergeCell ref="K24:K25"/>
    <mergeCell ref="F26:H27"/>
    <mergeCell ref="B20:F20"/>
    <mergeCell ref="J13:J14"/>
    <mergeCell ref="K13:K14"/>
    <mergeCell ref="L13:L14"/>
    <mergeCell ref="M13:M14"/>
    <mergeCell ref="K16:K17"/>
    <mergeCell ref="F18:H19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B13:B14"/>
    <mergeCell ref="N13:N14"/>
    <mergeCell ref="M5:M6"/>
    <mergeCell ref="K8:K9"/>
    <mergeCell ref="K21:K22"/>
    <mergeCell ref="L21:L22"/>
    <mergeCell ref="M21:M22"/>
    <mergeCell ref="N21:N22"/>
    <mergeCell ref="F10:H11"/>
    <mergeCell ref="H5:H6"/>
    <mergeCell ref="I5:I6"/>
    <mergeCell ref="B28:F28"/>
    <mergeCell ref="C13:C14"/>
    <mergeCell ref="D13:D14"/>
    <mergeCell ref="E13:E14"/>
    <mergeCell ref="F13:F14"/>
    <mergeCell ref="G13:G14"/>
    <mergeCell ref="H13:H14"/>
    <mergeCell ref="I13:I14"/>
    <mergeCell ref="AB5:AB6"/>
    <mergeCell ref="B5:B6"/>
    <mergeCell ref="C5:C6"/>
    <mergeCell ref="D5:D6"/>
    <mergeCell ref="E5:E6"/>
    <mergeCell ref="F5:F6"/>
    <mergeCell ref="G5:G6"/>
    <mergeCell ref="R21:R22"/>
    <mergeCell ref="S21:S22"/>
    <mergeCell ref="T21:T22"/>
    <mergeCell ref="U21:U22"/>
    <mergeCell ref="V21:V22"/>
    <mergeCell ref="W21:W22"/>
    <mergeCell ref="X21:X22"/>
    <mergeCell ref="Y21:Y22"/>
    <mergeCell ref="Z21:Z22"/>
    <mergeCell ref="L29:L30"/>
    <mergeCell ref="M29:M30"/>
    <mergeCell ref="N29:N30"/>
    <mergeCell ref="K32:K33"/>
    <mergeCell ref="F34:H35"/>
    <mergeCell ref="B36:F36"/>
    <mergeCell ref="B37:G37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B3:M3"/>
    <mergeCell ref="B12:F12"/>
    <mergeCell ref="B4:F4"/>
    <mergeCell ref="J5:J6"/>
    <mergeCell ref="K5:K6"/>
    <mergeCell ref="L5:L6"/>
    <mergeCell ref="Q3:AB3"/>
    <mergeCell ref="Q4:U4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N5:N6"/>
    <mergeCell ref="AC21:AC22"/>
    <mergeCell ref="Z24:Z25"/>
    <mergeCell ref="U26:W27"/>
    <mergeCell ref="AC5:AC6"/>
    <mergeCell ref="Z8:Z9"/>
    <mergeCell ref="U10:W11"/>
    <mergeCell ref="Q12:U12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C14"/>
    <mergeCell ref="Z16:Z17"/>
    <mergeCell ref="U18:W19"/>
    <mergeCell ref="Q20:U20"/>
    <mergeCell ref="Q21:Q22"/>
    <mergeCell ref="AA21:AA22"/>
    <mergeCell ref="AB21:AB22"/>
    <mergeCell ref="Y29:Y30"/>
    <mergeCell ref="Z29:Z30"/>
    <mergeCell ref="AA29:AA30"/>
    <mergeCell ref="AB29:AB30"/>
    <mergeCell ref="Q28:U28"/>
    <mergeCell ref="Q29:Q30"/>
    <mergeCell ref="R29:R30"/>
    <mergeCell ref="S29:S30"/>
    <mergeCell ref="T29:T30"/>
    <mergeCell ref="U29:U30"/>
    <mergeCell ref="V29:V30"/>
    <mergeCell ref="W29:W30"/>
    <mergeCell ref="X29:X30"/>
    <mergeCell ref="AC29:AC30"/>
    <mergeCell ref="Z32:Z33"/>
    <mergeCell ref="U34:W35"/>
    <mergeCell ref="B49:M49"/>
    <mergeCell ref="Q49:AB49"/>
    <mergeCell ref="Y37:Y38"/>
    <mergeCell ref="Z37:Z38"/>
    <mergeCell ref="AA37:AA38"/>
    <mergeCell ref="AB37:AB38"/>
    <mergeCell ref="AC37:AC38"/>
    <mergeCell ref="Z40:Z41"/>
    <mergeCell ref="U42:W43"/>
    <mergeCell ref="Q44:U44"/>
    <mergeCell ref="Q45:V45"/>
    <mergeCell ref="Q36:U36"/>
    <mergeCell ref="Q37:Q38"/>
    <mergeCell ref="R37:R38"/>
    <mergeCell ref="S37:S38"/>
    <mergeCell ref="T37:T38"/>
    <mergeCell ref="U37:U38"/>
    <mergeCell ref="V37:V38"/>
    <mergeCell ref="W37:W38"/>
    <mergeCell ref="X37:X38"/>
    <mergeCell ref="K29:K30"/>
    <mergeCell ref="B50:F50"/>
    <mergeCell ref="Q50:U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M51:M52"/>
    <mergeCell ref="N51:N52"/>
    <mergeCell ref="Q51:Q52"/>
    <mergeCell ref="R51:R52"/>
    <mergeCell ref="S51:S52"/>
    <mergeCell ref="T51:T52"/>
    <mergeCell ref="U51:U52"/>
    <mergeCell ref="V51:V52"/>
    <mergeCell ref="W51:W52"/>
    <mergeCell ref="X51:X52"/>
    <mergeCell ref="Y51:Y52"/>
    <mergeCell ref="Z51:Z52"/>
    <mergeCell ref="AA51:AA52"/>
    <mergeCell ref="AB51:AB52"/>
    <mergeCell ref="AC51:AC52"/>
    <mergeCell ref="K54:K55"/>
    <mergeCell ref="Z54:Z55"/>
    <mergeCell ref="B58:F58"/>
    <mergeCell ref="Q58:U58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M59:M60"/>
    <mergeCell ref="N59:N60"/>
    <mergeCell ref="Q59:Q60"/>
    <mergeCell ref="R59:R60"/>
    <mergeCell ref="S59:S60"/>
    <mergeCell ref="T59:T60"/>
    <mergeCell ref="U59:U60"/>
    <mergeCell ref="V59:V60"/>
    <mergeCell ref="W59:W60"/>
    <mergeCell ref="X59:X60"/>
    <mergeCell ref="Y59:Y60"/>
    <mergeCell ref="Z59:Z60"/>
    <mergeCell ref="AA59:AA60"/>
    <mergeCell ref="AB59:AB60"/>
    <mergeCell ref="AC59:AC60"/>
    <mergeCell ref="K62:K63"/>
    <mergeCell ref="Z62:Z63"/>
    <mergeCell ref="B66:F66"/>
    <mergeCell ref="Q66:U66"/>
    <mergeCell ref="B67:B68"/>
    <mergeCell ref="C67:C68"/>
    <mergeCell ref="D67:D68"/>
    <mergeCell ref="E67:E68"/>
    <mergeCell ref="F67:F68"/>
    <mergeCell ref="G67:G68"/>
    <mergeCell ref="H67:H68"/>
    <mergeCell ref="I67:I68"/>
    <mergeCell ref="J67:J68"/>
    <mergeCell ref="K67:K68"/>
    <mergeCell ref="L67:L68"/>
    <mergeCell ref="M67:M68"/>
    <mergeCell ref="N67:N68"/>
    <mergeCell ref="Q67:Q68"/>
    <mergeCell ref="R67:R68"/>
    <mergeCell ref="S67:S68"/>
    <mergeCell ref="T67:T68"/>
    <mergeCell ref="U67:U68"/>
    <mergeCell ref="V67:V68"/>
    <mergeCell ref="W67:W68"/>
    <mergeCell ref="X67:X68"/>
    <mergeCell ref="Y67:Y68"/>
    <mergeCell ref="Z67:Z68"/>
    <mergeCell ref="AA67:AA68"/>
    <mergeCell ref="AB67:AB68"/>
    <mergeCell ref="AC67:AC68"/>
    <mergeCell ref="K70:K71"/>
    <mergeCell ref="Z70:Z71"/>
    <mergeCell ref="B74:F74"/>
    <mergeCell ref="Q74:U74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Q75:Q76"/>
    <mergeCell ref="R75:R76"/>
    <mergeCell ref="S75:S76"/>
    <mergeCell ref="T75:T76"/>
    <mergeCell ref="U75:U76"/>
    <mergeCell ref="V75:V76"/>
    <mergeCell ref="W75:W76"/>
    <mergeCell ref="X75:X76"/>
    <mergeCell ref="Y75:Y76"/>
    <mergeCell ref="Z75:Z76"/>
    <mergeCell ref="AA75:AA76"/>
    <mergeCell ref="AB75:AB76"/>
    <mergeCell ref="AC75:AC76"/>
    <mergeCell ref="K78:K79"/>
    <mergeCell ref="Z78:Z79"/>
    <mergeCell ref="B82:F82"/>
    <mergeCell ref="Q82:U82"/>
    <mergeCell ref="B83:G83"/>
    <mergeCell ref="Q83:Q84"/>
    <mergeCell ref="R83:R84"/>
    <mergeCell ref="S83:S84"/>
    <mergeCell ref="T83:T84"/>
    <mergeCell ref="U83:U84"/>
    <mergeCell ref="V83:V84"/>
    <mergeCell ref="Q90:U90"/>
    <mergeCell ref="Q91:V91"/>
    <mergeCell ref="W83:W84"/>
    <mergeCell ref="X83:X84"/>
    <mergeCell ref="Y83:Y84"/>
    <mergeCell ref="Z83:Z84"/>
    <mergeCell ref="AA83:AA84"/>
    <mergeCell ref="AB83:AB84"/>
    <mergeCell ref="AC83:AC84"/>
    <mergeCell ref="Z86:Z87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L28"/>
  <sheetViews>
    <sheetView topLeftCell="A22" workbookViewId="0">
      <selection activeCell="Q42" sqref="Q42"/>
    </sheetView>
  </sheetViews>
  <sheetFormatPr defaultRowHeight="15"/>
  <cols>
    <col min="1" max="1" width="12.140625" customWidth="1"/>
    <col min="7" max="7" width="10.5703125" customWidth="1"/>
  </cols>
  <sheetData>
    <row r="2" spans="1:12">
      <c r="A2" s="477" t="s">
        <v>270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</row>
    <row r="3" spans="1:12">
      <c r="A3" s="185"/>
      <c r="D3" s="99" t="s">
        <v>335</v>
      </c>
      <c r="E3" s="186">
        <f>'8.Masse e forze'!$B$13</f>
        <v>0.14000000000000001</v>
      </c>
      <c r="I3" s="99" t="s">
        <v>8</v>
      </c>
      <c r="J3" s="1">
        <f>E3*B12*0.85</f>
        <v>3446.2757000000001</v>
      </c>
    </row>
    <row r="5" spans="1:12" ht="26.25" customHeight="1">
      <c r="A5" s="18" t="s">
        <v>347</v>
      </c>
      <c r="B5" s="18" t="s">
        <v>10</v>
      </c>
      <c r="C5" s="18" t="s">
        <v>11</v>
      </c>
      <c r="D5" s="18" t="s">
        <v>337</v>
      </c>
      <c r="E5" s="18" t="s">
        <v>338</v>
      </c>
      <c r="F5" s="18" t="s">
        <v>339</v>
      </c>
      <c r="G5" s="18" t="s">
        <v>313</v>
      </c>
      <c r="H5" s="18" t="s">
        <v>340</v>
      </c>
      <c r="I5" s="18" t="s">
        <v>341</v>
      </c>
      <c r="J5" s="18" t="s">
        <v>342</v>
      </c>
      <c r="K5" s="18" t="s">
        <v>348</v>
      </c>
      <c r="L5" s="18" t="s">
        <v>343</v>
      </c>
    </row>
    <row r="6" spans="1:12">
      <c r="A6" s="189" t="s">
        <v>265</v>
      </c>
      <c r="B6" s="179">
        <f>'8.Masse e forze'!B17</f>
        <v>4875.3</v>
      </c>
      <c r="C6" s="8">
        <f>C7+3.2</f>
        <v>19.799999999999997</v>
      </c>
      <c r="D6" s="9">
        <f t="shared" ref="D6:D9" si="0">B6*C6</f>
        <v>96530.939999999988</v>
      </c>
      <c r="E6" s="4">
        <f>D6/$D$12*$J$3</f>
        <v>972.1631662077159</v>
      </c>
      <c r="F6" s="4">
        <f>E6</f>
        <v>972.1631662077159</v>
      </c>
      <c r="G6" s="8">
        <f>'12.Rigidezze di piano'!$M$219</f>
        <v>562.85224579227395</v>
      </c>
      <c r="H6" s="8">
        <f t="shared" ref="H6:H11" si="1">F6/G6</f>
        <v>1.7272084698521433</v>
      </c>
      <c r="I6" s="8">
        <f>I7+H6</f>
        <v>20.330563309851755</v>
      </c>
      <c r="J6" s="4">
        <f t="shared" ref="J6:J11" si="2">B6/9.81</f>
        <v>496.97247706422019</v>
      </c>
      <c r="K6" s="4">
        <f t="shared" ref="K6:K11" si="3">J6*I6^2/1000</f>
        <v>205.41453072974659</v>
      </c>
      <c r="L6" s="9">
        <f t="shared" ref="L6:L11" si="4">E6*I6</f>
        <v>19764.624798091903</v>
      </c>
    </row>
    <row r="7" spans="1:12">
      <c r="A7" s="189">
        <v>5</v>
      </c>
      <c r="B7" s="179">
        <f>'8.Masse e forze'!B18</f>
        <v>4817</v>
      </c>
      <c r="C7" s="8">
        <f>C8+3.2</f>
        <v>16.599999999999998</v>
      </c>
      <c r="D7" s="9">
        <f t="shared" si="0"/>
        <v>79962.199999999983</v>
      </c>
      <c r="E7" s="4">
        <f t="shared" ref="E7:E12" si="5">D7/$D$12*$J$3</f>
        <v>805.29937374415522</v>
      </c>
      <c r="F7" s="4">
        <f>E7+F6</f>
        <v>1777.4625399518711</v>
      </c>
      <c r="G7" s="8">
        <f>'12.Rigidezze di piano'!$M$173</f>
        <v>562.85224579227395</v>
      </c>
      <c r="H7" s="8">
        <f t="shared" si="1"/>
        <v>3.1579558458541905</v>
      </c>
      <c r="I7" s="8">
        <f>I8+H7</f>
        <v>18.603354839999611</v>
      </c>
      <c r="J7" s="4">
        <f t="shared" si="2"/>
        <v>491.02956167176347</v>
      </c>
      <c r="K7" s="4">
        <f t="shared" si="3"/>
        <v>169.93787319533612</v>
      </c>
      <c r="L7" s="9">
        <f t="shared" si="4"/>
        <v>14981.270002191985</v>
      </c>
    </row>
    <row r="8" spans="1:12">
      <c r="A8" s="189">
        <v>4</v>
      </c>
      <c r="B8" s="179">
        <f>'8.Masse e forze'!B19</f>
        <v>4817</v>
      </c>
      <c r="C8" s="8">
        <f>C9+3.2</f>
        <v>13.399999999999999</v>
      </c>
      <c r="D8" s="9">
        <f t="shared" si="0"/>
        <v>64547.799999999996</v>
      </c>
      <c r="E8" s="4">
        <f t="shared" si="5"/>
        <v>650.06094025130608</v>
      </c>
      <c r="F8" s="4">
        <f t="shared" ref="F8:F11" si="6">E8+F7</f>
        <v>2427.5234802031773</v>
      </c>
      <c r="G8" s="8">
        <f>'12.Rigidezze di piano'!M127</f>
        <v>634.49193909819587</v>
      </c>
      <c r="H8" s="8">
        <f t="shared" si="1"/>
        <v>3.825932735494511</v>
      </c>
      <c r="I8" s="8">
        <f>I9+H8</f>
        <v>15.445398994145421</v>
      </c>
      <c r="J8" s="4">
        <f t="shared" si="2"/>
        <v>491.02956167176347</v>
      </c>
      <c r="K8" s="4">
        <f t="shared" si="3"/>
        <v>117.14018413614414</v>
      </c>
      <c r="L8" s="9">
        <f t="shared" si="4"/>
        <v>10040.45059269075</v>
      </c>
    </row>
    <row r="9" spans="1:12">
      <c r="A9" s="189">
        <v>3</v>
      </c>
      <c r="B9" s="179">
        <f>'8.Masse e forze'!B20</f>
        <v>4817</v>
      </c>
      <c r="C9" s="8">
        <f>C10+3.2</f>
        <v>10.199999999999999</v>
      </c>
      <c r="D9" s="9">
        <f t="shared" si="0"/>
        <v>49133.399999999994</v>
      </c>
      <c r="E9" s="4">
        <f t="shared" si="5"/>
        <v>494.82250675845688</v>
      </c>
      <c r="F9" s="4">
        <f t="shared" si="6"/>
        <v>2922.345986961634</v>
      </c>
      <c r="G9" s="8">
        <f>'12.Rigidezze di piano'!$M$82</f>
        <v>815.51229810442669</v>
      </c>
      <c r="H9" s="8">
        <f t="shared" si="1"/>
        <v>3.5834480899360104</v>
      </c>
      <c r="I9" s="8">
        <f>I10+H9</f>
        <v>11.61946625865091</v>
      </c>
      <c r="J9" s="4">
        <f t="shared" si="2"/>
        <v>491.02956167176347</v>
      </c>
      <c r="K9" s="4">
        <f t="shared" si="3"/>
        <v>66.294881283054039</v>
      </c>
      <c r="L9" s="9">
        <f t="shared" si="4"/>
        <v>5749.5734213009518</v>
      </c>
    </row>
    <row r="10" spans="1:12">
      <c r="A10" s="189">
        <v>2</v>
      </c>
      <c r="B10" s="179">
        <f>'8.Masse e forze'!B21</f>
        <v>4817</v>
      </c>
      <c r="C10" s="8">
        <f>C11+3.2</f>
        <v>7</v>
      </c>
      <c r="D10" s="9">
        <f>B10*C10</f>
        <v>33719</v>
      </c>
      <c r="E10" s="4">
        <f t="shared" si="5"/>
        <v>339.58407326560769</v>
      </c>
      <c r="F10" s="4">
        <f t="shared" si="6"/>
        <v>3261.9300602272415</v>
      </c>
      <c r="G10" s="8">
        <f>'12.Rigidezze di piano'!$M$82</f>
        <v>815.51229810442669</v>
      </c>
      <c r="H10" s="8">
        <f t="shared" si="1"/>
        <v>3.9998539173587666</v>
      </c>
      <c r="I10" s="8">
        <f>I11+H10</f>
        <v>8.0360181687148984</v>
      </c>
      <c r="J10" s="4">
        <f t="shared" si="2"/>
        <v>491.02956167176347</v>
      </c>
      <c r="K10" s="4">
        <f t="shared" si="3"/>
        <v>31.709504733346698</v>
      </c>
      <c r="L10" s="9">
        <f t="shared" si="4"/>
        <v>2728.9037825686346</v>
      </c>
    </row>
    <row r="11" spans="1:12">
      <c r="A11" s="189">
        <v>1</v>
      </c>
      <c r="B11" s="179">
        <f>'8.Masse e forze'!B22</f>
        <v>4817</v>
      </c>
      <c r="C11" s="8">
        <v>3.8</v>
      </c>
      <c r="D11" s="9">
        <f>B11*C11</f>
        <v>18304.599999999999</v>
      </c>
      <c r="E11" s="4">
        <f t="shared" si="5"/>
        <v>184.34563977275843</v>
      </c>
      <c r="F11" s="4">
        <f t="shared" si="6"/>
        <v>3446.2757000000001</v>
      </c>
      <c r="G11" s="8">
        <f>'12.Rigidezze di piano'!M36</f>
        <v>853.84922054202036</v>
      </c>
      <c r="H11" s="8">
        <f t="shared" si="1"/>
        <v>4.0361642513561318</v>
      </c>
      <c r="I11" s="8">
        <f>H11</f>
        <v>4.0361642513561318</v>
      </c>
      <c r="J11" s="4">
        <f t="shared" si="2"/>
        <v>491.02956167176347</v>
      </c>
      <c r="K11" s="4">
        <f t="shared" si="3"/>
        <v>7.9991769132036392</v>
      </c>
      <c r="L11" s="9">
        <f t="shared" si="4"/>
        <v>744.04928114418271</v>
      </c>
    </row>
    <row r="12" spans="1:12" ht="15.75">
      <c r="A12" s="190" t="s">
        <v>21</v>
      </c>
      <c r="B12" s="9">
        <f>SUM(B6:B11)</f>
        <v>28960.3</v>
      </c>
      <c r="C12" s="179"/>
      <c r="D12" s="9">
        <f>SUM(D6:D11)</f>
        <v>342197.93999999994</v>
      </c>
      <c r="E12" s="4">
        <f t="shared" si="5"/>
        <v>3446.2757000000001</v>
      </c>
      <c r="F12" s="342"/>
      <c r="G12" s="428"/>
      <c r="H12" s="428"/>
      <c r="I12" s="428"/>
      <c r="J12" s="340"/>
      <c r="K12" s="4">
        <f>SUM(K6:K11)</f>
        <v>598.49615099083121</v>
      </c>
      <c r="L12" s="9">
        <f>SUM(L6:L11)</f>
        <v>54008.8718779884</v>
      </c>
    </row>
    <row r="14" spans="1:12">
      <c r="G14" t="s">
        <v>350</v>
      </c>
      <c r="J14" s="187" t="s">
        <v>344</v>
      </c>
      <c r="K14" s="191">
        <f>2*PI()*SQRT(K12/L12)</f>
        <v>0.66142102540796677</v>
      </c>
      <c r="L14" t="s">
        <v>345</v>
      </c>
    </row>
    <row r="16" spans="1:12">
      <c r="A16" s="477" t="s">
        <v>346</v>
      </c>
      <c r="B16" s="477"/>
      <c r="C16" s="477"/>
      <c r="D16" s="477"/>
      <c r="E16" s="477"/>
      <c r="F16" s="477"/>
      <c r="G16" s="477"/>
      <c r="H16" s="477"/>
      <c r="I16" s="477"/>
      <c r="J16" s="477"/>
      <c r="K16" s="477"/>
      <c r="L16" s="477"/>
    </row>
    <row r="17" spans="1:12">
      <c r="A17" s="185"/>
      <c r="D17" s="99" t="s">
        <v>335</v>
      </c>
      <c r="E17" s="186">
        <f>'8.Masse e forze'!$B$13</f>
        <v>0.14000000000000001</v>
      </c>
      <c r="I17" s="99" t="s">
        <v>336</v>
      </c>
      <c r="J17" s="1">
        <f>E17*B26*0.85</f>
        <v>3446.2757000000001</v>
      </c>
    </row>
    <row r="19" spans="1:12" ht="30.75" customHeight="1">
      <c r="A19" s="18" t="s">
        <v>347</v>
      </c>
      <c r="B19" s="18" t="s">
        <v>10</v>
      </c>
      <c r="C19" s="18" t="s">
        <v>11</v>
      </c>
      <c r="D19" s="18" t="s">
        <v>337</v>
      </c>
      <c r="E19" s="18" t="s">
        <v>338</v>
      </c>
      <c r="F19" s="18" t="s">
        <v>339</v>
      </c>
      <c r="G19" s="18" t="s">
        <v>313</v>
      </c>
      <c r="H19" s="18" t="s">
        <v>340</v>
      </c>
      <c r="I19" s="18" t="s">
        <v>341</v>
      </c>
      <c r="J19" s="18" t="s">
        <v>342</v>
      </c>
      <c r="K19" s="18" t="s">
        <v>348</v>
      </c>
      <c r="L19" s="18" t="s">
        <v>343</v>
      </c>
    </row>
    <row r="20" spans="1:12">
      <c r="A20" s="189" t="s">
        <v>349</v>
      </c>
      <c r="B20" s="179">
        <f t="shared" ref="B20:B25" si="7">B6</f>
        <v>4875.3</v>
      </c>
      <c r="C20" s="8">
        <f>C21+3.2</f>
        <v>19.799999999999997</v>
      </c>
      <c r="D20" s="9">
        <f t="shared" ref="D20:D25" si="8">ROUND(B20*C20,0)</f>
        <v>96531</v>
      </c>
      <c r="E20" s="4">
        <f>D20/$D$12*$J$17</f>
        <v>972.16377046775926</v>
      </c>
      <c r="F20" s="4">
        <f>E20</f>
        <v>972.16377046775926</v>
      </c>
      <c r="G20" s="8">
        <f>'12.Rigidezze di piano'!$AB$227</f>
        <v>581.76934838358625</v>
      </c>
      <c r="H20" s="8">
        <f>F20/G20</f>
        <v>1.6710467355642957</v>
      </c>
      <c r="I20" s="8">
        <f>I21+H20</f>
        <v>19.221542790039202</v>
      </c>
      <c r="J20" s="4">
        <f t="shared" ref="J20:J25" si="9">B20/9.81</f>
        <v>496.97247706422019</v>
      </c>
      <c r="K20" s="4">
        <f t="shared" ref="K20:K25" si="10">J20*I20^2/1000</f>
        <v>183.61528165698729</v>
      </c>
      <c r="L20" s="9">
        <f t="shared" ref="L20:L25" si="11">E20*I20</f>
        <v>18686.487512971882</v>
      </c>
    </row>
    <row r="21" spans="1:12">
      <c r="A21" s="189">
        <v>5</v>
      </c>
      <c r="B21" s="179">
        <f t="shared" si="7"/>
        <v>4817</v>
      </c>
      <c r="C21" s="8">
        <f>C22+3.2</f>
        <v>16.599999999999998</v>
      </c>
      <c r="D21" s="9">
        <f t="shared" si="8"/>
        <v>79962</v>
      </c>
      <c r="E21" s="4">
        <f t="shared" ref="E21:E26" si="12">D21/$D$12*$J$17</f>
        <v>805.29735954401144</v>
      </c>
      <c r="F21" s="4">
        <f>E21+F20</f>
        <v>1777.4611300117708</v>
      </c>
      <c r="G21" s="8">
        <f>'12.Rigidezze di piano'!$AB$181</f>
        <v>581.76934838358625</v>
      </c>
      <c r="H21" s="8">
        <f t="shared" ref="H21:H25" si="13">F21/G21</f>
        <v>3.0552677533636787</v>
      </c>
      <c r="I21" s="8">
        <f>I22+H21</f>
        <v>17.550496054474905</v>
      </c>
      <c r="J21" s="4">
        <f t="shared" si="9"/>
        <v>491.02956167176347</v>
      </c>
      <c r="K21" s="4">
        <f t="shared" si="10"/>
        <v>151.24688225677437</v>
      </c>
      <c r="L21" s="9">
        <f t="shared" si="11"/>
        <v>14133.368131356232</v>
      </c>
    </row>
    <row r="22" spans="1:12">
      <c r="A22" s="189">
        <v>4</v>
      </c>
      <c r="B22" s="179">
        <f t="shared" si="7"/>
        <v>4817</v>
      </c>
      <c r="C22" s="8">
        <f>C23+3.2</f>
        <v>13.399999999999999</v>
      </c>
      <c r="D22" s="9">
        <f t="shared" si="8"/>
        <v>64548</v>
      </c>
      <c r="E22" s="4">
        <f t="shared" si="12"/>
        <v>650.06295445145008</v>
      </c>
      <c r="F22" s="4">
        <f t="shared" ref="F22:F25" si="14">E22+F21</f>
        <v>2427.5240844632208</v>
      </c>
      <c r="G22" s="8">
        <f>'12.Rigidezze di piano'!AB135</f>
        <v>658.27523565226886</v>
      </c>
      <c r="H22" s="8">
        <f t="shared" si="13"/>
        <v>3.6877037946868021</v>
      </c>
      <c r="I22" s="8">
        <f>I23+H22</f>
        <v>14.495228301111228</v>
      </c>
      <c r="J22" s="4">
        <f t="shared" si="9"/>
        <v>491.02956167176347</v>
      </c>
      <c r="K22" s="4">
        <f t="shared" si="10"/>
        <v>103.1710282105948</v>
      </c>
      <c r="L22" s="9">
        <f t="shared" si="11"/>
        <v>9422.8109348686376</v>
      </c>
    </row>
    <row r="23" spans="1:12">
      <c r="A23" s="189">
        <v>3</v>
      </c>
      <c r="B23" s="179">
        <f t="shared" si="7"/>
        <v>4817</v>
      </c>
      <c r="C23" s="8">
        <f>C24+3.2</f>
        <v>10.199999999999999</v>
      </c>
      <c r="D23" s="9">
        <f t="shared" si="8"/>
        <v>49133</v>
      </c>
      <c r="E23" s="4">
        <f t="shared" si="12"/>
        <v>494.81847835816905</v>
      </c>
      <c r="F23" s="4">
        <f t="shared" si="14"/>
        <v>2922.3425628213899</v>
      </c>
      <c r="G23" s="8">
        <f>'12.Rigidezze di piano'!$AB$90</f>
        <v>870.82896595385012</v>
      </c>
      <c r="H23" s="8">
        <f t="shared" si="13"/>
        <v>3.3558169021404147</v>
      </c>
      <c r="I23" s="8">
        <f>I24+H23</f>
        <v>10.807524506424425</v>
      </c>
      <c r="J23" s="4">
        <f t="shared" si="9"/>
        <v>491.02956167176347</v>
      </c>
      <c r="K23" s="4">
        <f t="shared" si="10"/>
        <v>57.353522584576758</v>
      </c>
      <c r="L23" s="9">
        <f t="shared" si="11"/>
        <v>5347.7628310875562</v>
      </c>
    </row>
    <row r="24" spans="1:12">
      <c r="A24" s="189">
        <v>2</v>
      </c>
      <c r="B24" s="179">
        <f t="shared" si="7"/>
        <v>4817</v>
      </c>
      <c r="C24" s="8">
        <f>C25+3.2</f>
        <v>7</v>
      </c>
      <c r="D24" s="9">
        <f t="shared" si="8"/>
        <v>33719</v>
      </c>
      <c r="E24" s="4">
        <f t="shared" si="12"/>
        <v>339.58407326560769</v>
      </c>
      <c r="F24" s="4">
        <f t="shared" si="14"/>
        <v>3261.9266360869979</v>
      </c>
      <c r="G24" s="8">
        <f>'12.Rigidezze di piano'!$AB$90</f>
        <v>870.82896595385012</v>
      </c>
      <c r="H24" s="8">
        <f t="shared" si="13"/>
        <v>3.7457718606248851</v>
      </c>
      <c r="I24" s="8">
        <f>I25+H24</f>
        <v>7.4517076042840102</v>
      </c>
      <c r="J24" s="4">
        <f t="shared" si="9"/>
        <v>491.02956167176347</v>
      </c>
      <c r="K24" s="4">
        <f t="shared" si="10"/>
        <v>27.265863092814222</v>
      </c>
      <c r="L24" s="9">
        <f t="shared" si="11"/>
        <v>2530.4812210470673</v>
      </c>
    </row>
    <row r="25" spans="1:12">
      <c r="A25" s="189">
        <v>1</v>
      </c>
      <c r="B25" s="179">
        <f t="shared" si="7"/>
        <v>4817</v>
      </c>
      <c r="C25" s="8">
        <v>3.8</v>
      </c>
      <c r="D25" s="9">
        <f t="shared" si="8"/>
        <v>18305</v>
      </c>
      <c r="E25" s="4">
        <f t="shared" si="12"/>
        <v>184.34966817304633</v>
      </c>
      <c r="F25" s="4">
        <f t="shared" si="14"/>
        <v>3446.2763042600441</v>
      </c>
      <c r="G25" s="8">
        <f>'12.Rigidezze di piano'!AB44</f>
        <v>929.93417658593796</v>
      </c>
      <c r="H25" s="8">
        <f t="shared" si="13"/>
        <v>3.7059357436591251</v>
      </c>
      <c r="I25" s="8">
        <f>H25</f>
        <v>3.7059357436591251</v>
      </c>
      <c r="J25" s="4">
        <f t="shared" si="9"/>
        <v>491.02956167176347</v>
      </c>
      <c r="K25" s="4">
        <f t="shared" si="10"/>
        <v>6.7437802292497153</v>
      </c>
      <c r="L25" s="9">
        <f t="shared" si="11"/>
        <v>683.18802461419136</v>
      </c>
    </row>
    <row r="26" spans="1:12" ht="15.75">
      <c r="A26" s="190" t="s">
        <v>21</v>
      </c>
      <c r="B26" s="9">
        <f>SUM(B20:B25)</f>
        <v>28960.3</v>
      </c>
      <c r="C26" s="179"/>
      <c r="D26" s="9">
        <f>SUM(D20:D25)</f>
        <v>342198</v>
      </c>
      <c r="E26" s="4">
        <f t="shared" si="12"/>
        <v>3446.2763042600436</v>
      </c>
      <c r="F26" s="342"/>
      <c r="G26" s="428"/>
      <c r="H26" s="428"/>
      <c r="I26" s="428"/>
      <c r="J26" s="340"/>
      <c r="K26" s="4">
        <f>SUM(K20:K25)</f>
        <v>529.39635803099713</v>
      </c>
      <c r="L26" s="9">
        <f>SUM(L20:L25)</f>
        <v>50804.09865594557</v>
      </c>
    </row>
    <row r="28" spans="1:12">
      <c r="G28" t="s">
        <v>350</v>
      </c>
      <c r="J28" s="187" t="s">
        <v>344</v>
      </c>
      <c r="K28" s="191">
        <f>2*PI()*SQRT(K26/L26)</f>
        <v>0.64138820286745746</v>
      </c>
      <c r="L28" t="s">
        <v>345</v>
      </c>
    </row>
  </sheetData>
  <mergeCells count="4">
    <mergeCell ref="F12:J12"/>
    <mergeCell ref="A2:L2"/>
    <mergeCell ref="A16:L16"/>
    <mergeCell ref="F26:J26"/>
  </mergeCell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O123"/>
  <sheetViews>
    <sheetView topLeftCell="A91" zoomScale="70" zoomScaleNormal="70" workbookViewId="0">
      <selection activeCell="D2" sqref="D2:R2"/>
    </sheetView>
  </sheetViews>
  <sheetFormatPr defaultRowHeight="15"/>
  <cols>
    <col min="1" max="1" width="5.5703125" customWidth="1"/>
    <col min="7" max="7" width="10.42578125" customWidth="1"/>
    <col min="9" max="9" width="9.140625" customWidth="1"/>
    <col min="40" max="40" width="10" customWidth="1"/>
    <col min="41" max="41" width="10.28515625" bestFit="1" customWidth="1"/>
  </cols>
  <sheetData>
    <row r="1" spans="1:40" ht="19.5" thickBot="1">
      <c r="A1" s="478" t="s">
        <v>393</v>
      </c>
      <c r="C1" s="31"/>
      <c r="D1" s="479" t="s">
        <v>351</v>
      </c>
      <c r="E1" s="479"/>
      <c r="F1" s="479"/>
      <c r="G1" s="479"/>
      <c r="H1" s="479"/>
      <c r="I1" s="479"/>
      <c r="J1" s="479"/>
      <c r="Y1" s="31"/>
      <c r="Z1" s="479" t="s">
        <v>387</v>
      </c>
      <c r="AA1" s="479"/>
      <c r="AB1" s="479"/>
      <c r="AC1" s="479"/>
      <c r="AD1" s="479"/>
      <c r="AE1" s="479"/>
      <c r="AF1" s="479"/>
    </row>
    <row r="2" spans="1:40" ht="15.75" thickBot="1">
      <c r="A2" s="478"/>
      <c r="B2" s="195"/>
      <c r="C2" s="265" t="s">
        <v>353</v>
      </c>
      <c r="D2" s="67">
        <v>0.15</v>
      </c>
      <c r="E2" s="67"/>
      <c r="F2" s="67">
        <v>4.5999999999999996</v>
      </c>
      <c r="G2" s="67"/>
      <c r="H2" s="67">
        <v>6.6</v>
      </c>
      <c r="I2" s="67"/>
      <c r="J2" s="67">
        <v>10.65</v>
      </c>
      <c r="K2" s="67"/>
      <c r="L2" s="67">
        <v>13.45</v>
      </c>
      <c r="M2" s="67"/>
      <c r="N2" s="67">
        <v>17.5</v>
      </c>
      <c r="O2" s="67"/>
      <c r="P2" s="67">
        <v>19.5</v>
      </c>
      <c r="Q2" s="67"/>
      <c r="R2" s="67">
        <v>23.95</v>
      </c>
      <c r="X2" s="195"/>
      <c r="Y2" s="265" t="s">
        <v>353</v>
      </c>
      <c r="Z2" s="67">
        <v>0.15</v>
      </c>
      <c r="AA2" s="67"/>
      <c r="AB2" s="67">
        <v>4.5999999999999996</v>
      </c>
      <c r="AC2" s="67"/>
      <c r="AD2" s="67">
        <v>6.6</v>
      </c>
      <c r="AE2" s="67"/>
      <c r="AF2" s="67">
        <v>10.65</v>
      </c>
      <c r="AG2" s="67"/>
      <c r="AH2" s="67">
        <v>13.45</v>
      </c>
      <c r="AI2" s="67"/>
      <c r="AJ2" s="67">
        <v>17.5</v>
      </c>
      <c r="AK2" s="67"/>
      <c r="AL2" s="67">
        <v>19.5</v>
      </c>
      <c r="AM2" s="67"/>
      <c r="AN2" s="67">
        <v>23.95</v>
      </c>
    </row>
    <row r="3" spans="1:40" ht="18" thickBot="1">
      <c r="A3" s="478"/>
      <c r="B3" s="265" t="s">
        <v>352</v>
      </c>
      <c r="C3" s="195"/>
      <c r="R3" s="269"/>
      <c r="T3" s="278" t="s">
        <v>395</v>
      </c>
      <c r="U3" s="279" t="s">
        <v>396</v>
      </c>
      <c r="V3" s="280" t="s">
        <v>397</v>
      </c>
      <c r="X3" s="265" t="s">
        <v>352</v>
      </c>
      <c r="Y3" s="195"/>
      <c r="AN3" s="269"/>
    </row>
    <row r="4" spans="1:40">
      <c r="A4" s="478"/>
      <c r="B4" s="252">
        <v>16.8</v>
      </c>
      <c r="D4" s="193">
        <f>'12.Rigidezze di piano'!$M$31</f>
        <v>10.256872749528924</v>
      </c>
      <c r="E4" s="192"/>
      <c r="F4" s="192"/>
      <c r="G4" s="192"/>
      <c r="H4" s="193">
        <f>'12.Rigidezze di piano'!$M$15</f>
        <v>42.217218014972353</v>
      </c>
      <c r="I4" s="192"/>
      <c r="J4" s="192"/>
      <c r="K4" s="192"/>
      <c r="L4" s="192"/>
      <c r="M4" s="192"/>
      <c r="N4" s="193">
        <f>'12.Rigidezze di piano'!$M$15</f>
        <v>42.217218014972353</v>
      </c>
      <c r="O4" s="192"/>
      <c r="P4" s="192"/>
      <c r="Q4" s="192"/>
      <c r="R4" s="270">
        <f>'12.Rigidezze di piano'!$M$31</f>
        <v>10.256872749528924</v>
      </c>
      <c r="T4" s="1">
        <f>SUM(D4:R4)</f>
        <v>104.94818152900255</v>
      </c>
      <c r="U4" s="1">
        <f>T4*B4</f>
        <v>1763.1294496872429</v>
      </c>
      <c r="V4" s="1">
        <f>T4*B4^2</f>
        <v>29620.574754745681</v>
      </c>
      <c r="X4" s="252">
        <v>16.8</v>
      </c>
      <c r="Z4" s="193">
        <f>'12.Rigidezze di piano'!$AB$7</f>
        <v>47.934548267860414</v>
      </c>
      <c r="AA4" s="192"/>
      <c r="AB4" s="192"/>
      <c r="AC4" s="192"/>
      <c r="AD4" s="193">
        <f>'12.Rigidezze di piano'!$AB$39</f>
        <v>10.639053465667722</v>
      </c>
      <c r="AE4" s="192"/>
      <c r="AF4" s="192"/>
      <c r="AG4" s="192"/>
      <c r="AH4" s="192"/>
      <c r="AI4" s="192"/>
      <c r="AJ4" s="193">
        <f>'12.Rigidezze di piano'!$AB$39</f>
        <v>10.639053465667722</v>
      </c>
      <c r="AK4" s="192"/>
      <c r="AL4" s="192"/>
      <c r="AM4" s="192"/>
      <c r="AN4" s="193">
        <f>'12.Rigidezze di piano'!$AB$7</f>
        <v>47.934548267860414</v>
      </c>
    </row>
    <row r="5" spans="1:40">
      <c r="A5" s="478"/>
      <c r="B5" s="266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271"/>
      <c r="T5" s="194"/>
      <c r="U5" s="1"/>
      <c r="V5" s="1"/>
      <c r="X5" s="266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271"/>
    </row>
    <row r="6" spans="1:40">
      <c r="A6" s="478"/>
      <c r="B6" s="252">
        <v>14.55</v>
      </c>
      <c r="D6" s="192"/>
      <c r="E6" s="192"/>
      <c r="F6" s="192"/>
      <c r="G6" s="192"/>
      <c r="H6" s="193">
        <f>'12.Rigidezze di piano'!$M$31</f>
        <v>10.256872749528924</v>
      </c>
      <c r="I6" s="192"/>
      <c r="J6" s="193">
        <f>'12.Rigidezze di piano'!$M$7</f>
        <v>61.256709599801425</v>
      </c>
      <c r="K6" s="192"/>
      <c r="L6" s="193">
        <f>'12.Rigidezze di piano'!$M$7</f>
        <v>61.256709599801425</v>
      </c>
      <c r="M6" s="192"/>
      <c r="N6" s="193">
        <f>'12.Rigidezze di piano'!$M$31</f>
        <v>10.256872749528924</v>
      </c>
      <c r="O6" s="192"/>
      <c r="P6" s="192"/>
      <c r="Q6" s="192"/>
      <c r="R6" s="271"/>
      <c r="T6" s="1">
        <f>SUM(D6:R6)</f>
        <v>143.0271646986607</v>
      </c>
      <c r="U6" s="1">
        <f>T6*B6</f>
        <v>2081.0452463655133</v>
      </c>
      <c r="V6" s="1">
        <f>T6*B6^2</f>
        <v>30279.208334618219</v>
      </c>
      <c r="X6" s="252">
        <v>14.55</v>
      </c>
      <c r="Z6" s="192"/>
      <c r="AA6" s="192"/>
      <c r="AB6" s="192"/>
      <c r="AC6" s="192"/>
      <c r="AD6" s="193">
        <f>'12.Rigidezze di piano'!$AB$7</f>
        <v>47.934548267860414</v>
      </c>
      <c r="AE6" s="192"/>
      <c r="AF6" s="193">
        <f>'12.Rigidezze di piano'!$AB$23</f>
        <v>4.9722141823906272</v>
      </c>
      <c r="AG6" s="192"/>
      <c r="AH6" s="193">
        <f>'12.Rigidezze di piano'!$AB$23</f>
        <v>4.9722141823906272</v>
      </c>
      <c r="AI6" s="192"/>
      <c r="AJ6" s="193">
        <f>'12.Rigidezze di piano'!$AB$7</f>
        <v>47.934548267860414</v>
      </c>
      <c r="AK6" s="192"/>
      <c r="AL6" s="192"/>
      <c r="AM6" s="192"/>
      <c r="AN6" s="271"/>
    </row>
    <row r="7" spans="1:40">
      <c r="A7" s="478"/>
      <c r="B7" s="267"/>
      <c r="D7" s="192"/>
      <c r="E7" s="192"/>
      <c r="G7" s="192"/>
      <c r="O7" s="192"/>
      <c r="P7" s="192"/>
      <c r="Q7" s="192"/>
      <c r="R7" s="271"/>
      <c r="T7" s="194"/>
      <c r="U7" s="1"/>
      <c r="V7" s="1"/>
      <c r="X7" s="267"/>
      <c r="Z7" s="192"/>
      <c r="AA7" s="192"/>
      <c r="AC7" s="192"/>
      <c r="AK7" s="192"/>
      <c r="AL7" s="192"/>
      <c r="AM7" s="192"/>
      <c r="AN7" s="271"/>
    </row>
    <row r="8" spans="1:40">
      <c r="A8" s="478"/>
      <c r="B8" s="252">
        <f>B11+4.62</f>
        <v>13.55</v>
      </c>
      <c r="D8" s="193">
        <f>'12.Rigidezze di piano'!$M$31</f>
        <v>10.256872749528924</v>
      </c>
      <c r="E8" s="192"/>
      <c r="F8" s="193">
        <f>'12.Rigidezze di piano'!$M$15</f>
        <v>42.217218014972353</v>
      </c>
      <c r="I8" s="192"/>
      <c r="J8" s="192"/>
      <c r="K8" s="192"/>
      <c r="L8" s="192"/>
      <c r="M8" s="192"/>
      <c r="O8" s="192"/>
      <c r="P8" s="193">
        <f>'12.Rigidezze di piano'!$M$15</f>
        <v>42.217218014972353</v>
      </c>
      <c r="Q8" s="192"/>
      <c r="R8" s="270">
        <f>'12.Rigidezze di piano'!$M$31</f>
        <v>10.256872749528924</v>
      </c>
      <c r="T8" s="1">
        <f>SUM(D8:R8)</f>
        <v>104.94818152900255</v>
      </c>
      <c r="U8" s="1">
        <f>T8*B8</f>
        <v>1422.0478597179847</v>
      </c>
      <c r="V8" s="1">
        <f>T8*B8^2</f>
        <v>19268.748499178695</v>
      </c>
      <c r="X8" s="252">
        <f>X11+4.62</f>
        <v>13.55</v>
      </c>
      <c r="Z8" s="193">
        <f>'12.Rigidezze di piano'!$AB$15</f>
        <v>57.282170424859409</v>
      </c>
      <c r="AA8" s="192"/>
      <c r="AB8" s="193">
        <f>'12.Rigidezze di piano'!$AB$23</f>
        <v>4.9722141823906272</v>
      </c>
      <c r="AE8" s="192"/>
      <c r="AF8" s="192"/>
      <c r="AG8" s="192"/>
      <c r="AH8" s="192"/>
      <c r="AI8" s="192"/>
      <c r="AK8" s="192"/>
      <c r="AL8" s="193">
        <f>'12.Rigidezze di piano'!$AB$23</f>
        <v>4.9722141823906272</v>
      </c>
      <c r="AM8" s="192"/>
      <c r="AN8" s="193">
        <f>'12.Rigidezze di piano'!$AB$15</f>
        <v>57.282170424859409</v>
      </c>
    </row>
    <row r="9" spans="1:40">
      <c r="A9" s="478"/>
      <c r="B9" s="429"/>
      <c r="D9" s="192"/>
      <c r="E9" s="192"/>
      <c r="G9" s="192"/>
      <c r="H9" s="192"/>
      <c r="I9" s="192"/>
      <c r="J9" s="192"/>
      <c r="K9" s="192"/>
      <c r="L9" s="192"/>
      <c r="M9" s="192"/>
      <c r="N9" s="192"/>
      <c r="O9" s="192"/>
      <c r="Q9" s="192"/>
      <c r="R9" s="271"/>
      <c r="T9" s="194"/>
      <c r="U9" s="1"/>
      <c r="V9" s="1"/>
      <c r="X9" s="429"/>
      <c r="Z9" s="192"/>
      <c r="AA9" s="192"/>
      <c r="AC9" s="192"/>
      <c r="AD9" s="192"/>
      <c r="AE9" s="192"/>
      <c r="AF9" s="192"/>
      <c r="AG9" s="192"/>
      <c r="AH9" s="192"/>
      <c r="AI9" s="192"/>
      <c r="AJ9" s="192"/>
      <c r="AK9" s="192"/>
      <c r="AM9" s="192"/>
      <c r="AN9" s="271"/>
    </row>
    <row r="10" spans="1:40">
      <c r="A10" s="478"/>
      <c r="B10" s="429"/>
      <c r="C10" s="38"/>
      <c r="D10" s="63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271"/>
      <c r="T10" s="194"/>
      <c r="U10" s="1"/>
      <c r="V10" s="1"/>
      <c r="X10" s="429"/>
      <c r="Y10" s="38"/>
      <c r="Z10" s="63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271"/>
    </row>
    <row r="11" spans="1:40">
      <c r="A11" s="478"/>
      <c r="B11" s="252">
        <f>B14+3.78</f>
        <v>8.93</v>
      </c>
      <c r="C11" s="38"/>
      <c r="D11" s="193">
        <f>'12.Rigidezze di piano'!$M$31</f>
        <v>10.256872749528924</v>
      </c>
      <c r="E11" s="192"/>
      <c r="F11" s="193">
        <f>'12.Rigidezze di piano'!$M$23</f>
        <v>53.487337015286514</v>
      </c>
      <c r="G11" s="192"/>
      <c r="H11" s="192"/>
      <c r="I11" s="192"/>
      <c r="J11" s="193">
        <f>'12.Rigidezze di piano'!$M$31</f>
        <v>10.256872749528924</v>
      </c>
      <c r="K11" s="192"/>
      <c r="L11" s="193">
        <f>'12.Rigidezze di piano'!$M$31</f>
        <v>10.256872749528924</v>
      </c>
      <c r="M11" s="192"/>
      <c r="N11" s="192"/>
      <c r="O11" s="192"/>
      <c r="P11" s="193">
        <f>'12.Rigidezze di piano'!$M$23</f>
        <v>53.487337015286514</v>
      </c>
      <c r="Q11" s="192"/>
      <c r="R11" s="270">
        <f>'12.Rigidezze di piano'!$M$31</f>
        <v>10.256872749528924</v>
      </c>
      <c r="T11" s="1">
        <f>SUM(D11:R11)</f>
        <v>148.00216502868872</v>
      </c>
      <c r="U11" s="1">
        <f>T11*B11</f>
        <v>1321.6593337061902</v>
      </c>
      <c r="V11" s="1">
        <f>T11*B11^2</f>
        <v>11802.41784999628</v>
      </c>
      <c r="X11" s="252">
        <f>X14+3.78</f>
        <v>8.93</v>
      </c>
      <c r="Y11" s="38"/>
      <c r="Z11" s="193">
        <f>'12.Rigidezze di piano'!$AB$15</f>
        <v>57.282170424859409</v>
      </c>
      <c r="AA11" s="192"/>
      <c r="AB11" s="193">
        <f>'12.Rigidezze di piano'!$AB$31</f>
        <v>6.614032734913609</v>
      </c>
      <c r="AC11" s="192"/>
      <c r="AD11" s="192"/>
      <c r="AE11" s="192"/>
      <c r="AF11" s="193">
        <f>'12.Rigidezze di piano'!$AB$7</f>
        <v>47.934548267860414</v>
      </c>
      <c r="AG11" s="192"/>
      <c r="AH11" s="193">
        <f>'12.Rigidezze di piano'!$AB$7</f>
        <v>47.934548267860414</v>
      </c>
      <c r="AI11" s="192"/>
      <c r="AJ11" s="192"/>
      <c r="AK11" s="192"/>
      <c r="AL11" s="193">
        <f>'12.Rigidezze di piano'!$AB$31</f>
        <v>6.614032734913609</v>
      </c>
      <c r="AM11" s="192"/>
      <c r="AN11" s="193">
        <f>'12.Rigidezze di piano'!$AB$15</f>
        <v>57.282170424859409</v>
      </c>
    </row>
    <row r="12" spans="1:40">
      <c r="A12" s="478"/>
      <c r="B12" s="429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271"/>
      <c r="T12" s="194"/>
      <c r="U12" s="1"/>
      <c r="V12" s="1"/>
      <c r="X12" s="429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271"/>
    </row>
    <row r="13" spans="1:40">
      <c r="A13" s="478"/>
      <c r="B13" s="429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271"/>
      <c r="T13" s="194"/>
      <c r="U13" s="1"/>
      <c r="V13" s="1"/>
      <c r="X13" s="429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271"/>
    </row>
    <row r="14" spans="1:40">
      <c r="A14" s="478"/>
      <c r="B14" s="252">
        <v>5.15</v>
      </c>
      <c r="D14" s="193">
        <f>'12.Rigidezze di piano'!$M$31</f>
        <v>10.256872749528924</v>
      </c>
      <c r="E14" s="192"/>
      <c r="F14" s="193">
        <f>'12.Rigidezze di piano'!$M$15</f>
        <v>42.217218014972353</v>
      </c>
      <c r="G14" s="192"/>
      <c r="H14" s="192"/>
      <c r="I14" s="192"/>
      <c r="J14" s="192"/>
      <c r="K14" s="192"/>
      <c r="L14" s="192"/>
      <c r="M14" s="192"/>
      <c r="N14" s="192"/>
      <c r="O14" s="192"/>
      <c r="P14" s="193">
        <f>'12.Rigidezze di piano'!$M$15</f>
        <v>42.217218014972353</v>
      </c>
      <c r="Q14" s="192"/>
      <c r="R14" s="270">
        <f>'12.Rigidezze di piano'!$M$31</f>
        <v>10.256872749528924</v>
      </c>
      <c r="T14" s="1">
        <f>SUM(D14:R14)</f>
        <v>104.94818152900255</v>
      </c>
      <c r="U14" s="1">
        <f>T14*B14</f>
        <v>540.48313487436315</v>
      </c>
      <c r="V14" s="1">
        <f>T14*B14^2</f>
        <v>2783.4881446029708</v>
      </c>
      <c r="X14" s="252">
        <v>5.15</v>
      </c>
      <c r="Z14" s="193">
        <f>'12.Rigidezze di piano'!$AB$15</f>
        <v>57.282170424859409</v>
      </c>
      <c r="AA14" s="192"/>
      <c r="AB14" s="193">
        <f>'12.Rigidezze di piano'!$AB$23</f>
        <v>4.9722141823906272</v>
      </c>
      <c r="AC14" s="192"/>
      <c r="AD14" s="192"/>
      <c r="AE14" s="192"/>
      <c r="AF14" s="192"/>
      <c r="AG14" s="192"/>
      <c r="AH14" s="192"/>
      <c r="AI14" s="192"/>
      <c r="AJ14" s="192"/>
      <c r="AK14" s="192"/>
      <c r="AL14" s="193">
        <f>'12.Rigidezze di piano'!$AB$23</f>
        <v>4.9722141823906272</v>
      </c>
      <c r="AM14" s="192"/>
      <c r="AN14" s="193">
        <f>'12.Rigidezze di piano'!$AB$15</f>
        <v>57.282170424859409</v>
      </c>
    </row>
    <row r="15" spans="1:40">
      <c r="A15" s="478"/>
      <c r="B15" s="266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271"/>
      <c r="T15" s="194"/>
      <c r="U15" s="1"/>
      <c r="V15" s="1"/>
      <c r="X15" s="266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271"/>
    </row>
    <row r="16" spans="1:40">
      <c r="A16" s="478"/>
      <c r="B16" s="252">
        <v>4.55</v>
      </c>
      <c r="D16" s="192"/>
      <c r="E16" s="192"/>
      <c r="G16" s="192"/>
      <c r="H16" s="193">
        <f>'12.Rigidezze di piano'!$M$31</f>
        <v>10.256872749528924</v>
      </c>
      <c r="I16" s="192"/>
      <c r="J16" s="193">
        <f>'12.Rigidezze di piano'!$M$7</f>
        <v>61.256709599801425</v>
      </c>
      <c r="K16" s="192"/>
      <c r="L16" s="193">
        <f>'12.Rigidezze di piano'!$M$7</f>
        <v>61.256709599801425</v>
      </c>
      <c r="M16" s="192"/>
      <c r="N16" s="193">
        <f>'12.Rigidezze di piano'!$M$31</f>
        <v>10.256872749528924</v>
      </c>
      <c r="O16" s="192"/>
      <c r="P16" s="192"/>
      <c r="Q16" s="192"/>
      <c r="R16" s="271"/>
      <c r="T16" s="1">
        <f>SUM(D16:R16)</f>
        <v>143.0271646986607</v>
      </c>
      <c r="U16" s="1">
        <f>T16*B16</f>
        <v>650.77359937890617</v>
      </c>
      <c r="V16" s="1">
        <f>T16*B16^2</f>
        <v>2961.0198771740229</v>
      </c>
      <c r="X16" s="252">
        <v>4.55</v>
      </c>
      <c r="Z16" s="192"/>
      <c r="AA16" s="192"/>
      <c r="AC16" s="192"/>
      <c r="AD16" s="193">
        <f>'12.Rigidezze di piano'!$AB$7</f>
        <v>47.934548267860414</v>
      </c>
      <c r="AE16" s="192"/>
      <c r="AF16" s="193">
        <f>'12.Rigidezze di piano'!$AB$39</f>
        <v>10.639053465667722</v>
      </c>
      <c r="AG16" s="192"/>
      <c r="AH16" s="193">
        <f>'12.Rigidezze di piano'!$AB$39</f>
        <v>10.639053465667722</v>
      </c>
      <c r="AI16" s="192"/>
      <c r="AJ16" s="193">
        <f>'12.Rigidezze di piano'!$AB$7</f>
        <v>47.934548267860414</v>
      </c>
      <c r="AK16" s="192"/>
      <c r="AL16" s="192"/>
      <c r="AM16" s="192"/>
      <c r="AN16" s="271"/>
    </row>
    <row r="17" spans="1:41">
      <c r="A17" s="478"/>
      <c r="B17" s="267"/>
      <c r="D17" s="192"/>
      <c r="E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271"/>
      <c r="T17" s="194"/>
      <c r="U17" s="1"/>
      <c r="V17" s="1"/>
      <c r="X17" s="267"/>
      <c r="Z17" s="192"/>
      <c r="AA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271"/>
    </row>
    <row r="18" spans="1:41">
      <c r="A18" s="478"/>
      <c r="B18" s="67">
        <v>0.4</v>
      </c>
      <c r="C18" s="38"/>
      <c r="D18" s="268">
        <f>'12.Rigidezze di piano'!$M$31</f>
        <v>10.256872749528924</v>
      </c>
      <c r="E18" s="63"/>
      <c r="F18" s="63"/>
      <c r="G18" s="63"/>
      <c r="H18" s="268">
        <f>'12.Rigidezze di piano'!$M$15</f>
        <v>42.217218014972353</v>
      </c>
      <c r="I18" s="63"/>
      <c r="J18" s="63"/>
      <c r="K18" s="63"/>
      <c r="L18" s="63"/>
      <c r="M18" s="63"/>
      <c r="N18" s="268">
        <f>'12.Rigidezze di piano'!$M$15</f>
        <v>42.217218014972353</v>
      </c>
      <c r="O18" s="63"/>
      <c r="P18" s="63"/>
      <c r="Q18" s="63"/>
      <c r="R18" s="270">
        <f>'12.Rigidezze di piano'!$M$31</f>
        <v>10.256872749528924</v>
      </c>
      <c r="T18" s="1">
        <f>SUM(D18:R18)</f>
        <v>104.94818152900255</v>
      </c>
      <c r="U18" s="1">
        <f>T18*B18</f>
        <v>41.979272611601026</v>
      </c>
      <c r="V18" s="1">
        <f>T18*B18^2</f>
        <v>16.791709044640413</v>
      </c>
      <c r="X18" s="67">
        <v>0.4</v>
      </c>
      <c r="Y18" s="38"/>
      <c r="Z18" s="193">
        <f>'12.Rigidezze di piano'!$AB$7</f>
        <v>47.934548267860414</v>
      </c>
      <c r="AA18" s="63"/>
      <c r="AB18" s="63"/>
      <c r="AC18" s="63"/>
      <c r="AD18" s="193">
        <f>'12.Rigidezze di piano'!$AB$39</f>
        <v>10.639053465667722</v>
      </c>
      <c r="AE18" s="63"/>
      <c r="AF18" s="63"/>
      <c r="AG18" s="63"/>
      <c r="AH18" s="63"/>
      <c r="AI18" s="63"/>
      <c r="AJ18" s="193">
        <f>'12.Rigidezze di piano'!$AB$39</f>
        <v>10.639053465667722</v>
      </c>
      <c r="AK18" s="63"/>
      <c r="AL18" s="63"/>
      <c r="AM18" s="63"/>
      <c r="AN18" s="193">
        <f>'12.Rigidezze di piano'!$AB$7</f>
        <v>47.934548267860414</v>
      </c>
    </row>
    <row r="19" spans="1:41">
      <c r="A19" s="478"/>
      <c r="C19" s="60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4"/>
      <c r="T19" s="194"/>
      <c r="Y19" s="60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4"/>
    </row>
    <row r="20" spans="1:41" ht="15.75" thickBot="1">
      <c r="A20" s="478"/>
      <c r="T20" s="273">
        <f>SUM(T4:T18)</f>
        <v>853.84922054202036</v>
      </c>
      <c r="U20" s="281">
        <f>SUM(U4:U18)</f>
        <v>7821.1178963418015</v>
      </c>
      <c r="V20" s="281">
        <f>SUM(V4:V18)</f>
        <v>96732.249169360512</v>
      </c>
      <c r="AO20" s="272" t="s">
        <v>21</v>
      </c>
    </row>
    <row r="21" spans="1:41" ht="18" customHeight="1">
      <c r="A21" s="478"/>
      <c r="B21" s="480" t="s">
        <v>388</v>
      </c>
      <c r="C21" s="481"/>
      <c r="D21" s="486" t="s">
        <v>389</v>
      </c>
      <c r="E21" s="486" t="s">
        <v>390</v>
      </c>
      <c r="T21" s="194"/>
      <c r="X21" s="275" t="s">
        <v>394</v>
      </c>
      <c r="Z21" s="192">
        <f>SUM(Z4:Z18)</f>
        <v>267.71560781029905</v>
      </c>
      <c r="AA21" s="192"/>
      <c r="AB21" s="192">
        <f>SUM(AB4:AB18)</f>
        <v>16.558461099694863</v>
      </c>
      <c r="AC21" s="192"/>
      <c r="AD21" s="192">
        <f>SUM(AD4:AD18)</f>
        <v>117.14720346705627</v>
      </c>
      <c r="AE21" s="192"/>
      <c r="AF21" s="192">
        <f>SUM(AF4:AF18)</f>
        <v>63.545815915918766</v>
      </c>
      <c r="AG21" s="192"/>
      <c r="AH21" s="192">
        <f>SUM(AH4:AH18)</f>
        <v>63.545815915918766</v>
      </c>
      <c r="AI21" s="192"/>
      <c r="AJ21" s="192">
        <f>SUM(AJ4:AJ18)</f>
        <v>117.14720346705627</v>
      </c>
      <c r="AK21" s="192"/>
      <c r="AL21" s="192">
        <f>SUM(AL4:AL18)</f>
        <v>16.558461099694863</v>
      </c>
      <c r="AM21" s="192"/>
      <c r="AN21" s="192">
        <f>SUM(AN4:AN18)</f>
        <v>267.71560781029905</v>
      </c>
      <c r="AO21" s="273">
        <f>SUM(Z21:AN21)</f>
        <v>929.93417658593785</v>
      </c>
    </row>
    <row r="22" spans="1:41">
      <c r="A22" s="478"/>
      <c r="B22" s="482"/>
      <c r="C22" s="483"/>
      <c r="D22" s="486"/>
      <c r="E22" s="486"/>
      <c r="F22" s="274"/>
      <c r="X22" s="276" t="s">
        <v>391</v>
      </c>
      <c r="Z22" s="282">
        <f>Z21*Z2</f>
        <v>40.157341171544857</v>
      </c>
      <c r="AA22" s="282"/>
      <c r="AB22" s="282">
        <f>AB21*AB2</f>
        <v>76.168921058596368</v>
      </c>
      <c r="AC22" s="282"/>
      <c r="AD22" s="282">
        <f>AD21*AD2</f>
        <v>773.17154288257132</v>
      </c>
      <c r="AE22" s="282"/>
      <c r="AF22" s="282">
        <f>AF21*AF2</f>
        <v>676.76293950453487</v>
      </c>
      <c r="AG22" s="282"/>
      <c r="AH22" s="282">
        <f>AH21*AH2</f>
        <v>854.69122406910731</v>
      </c>
      <c r="AI22" s="282"/>
      <c r="AJ22" s="282">
        <f>AJ21*AJ2</f>
        <v>2050.0760606734848</v>
      </c>
      <c r="AK22" s="282"/>
      <c r="AL22" s="282">
        <f>AL21*AL2</f>
        <v>322.88999144404983</v>
      </c>
      <c r="AM22" s="282"/>
      <c r="AN22" s="282">
        <f>AN21*AN2</f>
        <v>6411.7888070566623</v>
      </c>
      <c r="AO22" s="281">
        <f>SUM(Z22:AN22)</f>
        <v>11205.706827860551</v>
      </c>
    </row>
    <row r="23" spans="1:41" ht="15" customHeight="1" thickBot="1">
      <c r="A23" s="478"/>
      <c r="B23" s="484"/>
      <c r="C23" s="485"/>
      <c r="D23" s="8">
        <f>U20/T20</f>
        <v>9.1598349078271504</v>
      </c>
      <c r="E23" s="251">
        <f>AO22/AO21</f>
        <v>12.05</v>
      </c>
      <c r="X23" s="277" t="s">
        <v>392</v>
      </c>
      <c r="Z23" s="282">
        <f>Z21*Z2^2</f>
        <v>6.023601175731728</v>
      </c>
      <c r="AA23" s="282"/>
      <c r="AB23" s="282">
        <f>AB21*AB2^2</f>
        <v>350.37703686954325</v>
      </c>
      <c r="AC23" s="282"/>
      <c r="AD23" s="282">
        <f>AD21*AD2^2</f>
        <v>5102.932183024971</v>
      </c>
      <c r="AE23" s="282"/>
      <c r="AF23" s="282">
        <f>AF21*AF2^2</f>
        <v>7207.5253057232967</v>
      </c>
      <c r="AG23" s="282"/>
      <c r="AH23" s="282">
        <f>AH21*AH2^2</f>
        <v>11495.596963729493</v>
      </c>
      <c r="AI23" s="282"/>
      <c r="AJ23" s="282">
        <f>AJ21*AJ2^2</f>
        <v>35876.331061785982</v>
      </c>
      <c r="AK23" s="282"/>
      <c r="AL23" s="282">
        <f>AL21*AL2^2</f>
        <v>6296.3548331589718</v>
      </c>
      <c r="AM23" s="282"/>
      <c r="AN23" s="282">
        <f>AN21*AN2^2</f>
        <v>153562.34192900706</v>
      </c>
      <c r="AO23" s="281">
        <f>SUM(Z23:AN23)</f>
        <v>219897.48291447505</v>
      </c>
    </row>
    <row r="26" spans="1:41" ht="19.5" thickBot="1">
      <c r="A26" s="478" t="s">
        <v>398</v>
      </c>
      <c r="C26" s="31"/>
      <c r="D26" s="479" t="s">
        <v>351</v>
      </c>
      <c r="E26" s="479"/>
      <c r="F26" s="479"/>
      <c r="G26" s="479"/>
      <c r="H26" s="479"/>
      <c r="I26" s="479"/>
      <c r="J26" s="479"/>
      <c r="Y26" s="31"/>
      <c r="Z26" s="479" t="s">
        <v>387</v>
      </c>
      <c r="AA26" s="479"/>
      <c r="AB26" s="479"/>
      <c r="AC26" s="479"/>
      <c r="AD26" s="479"/>
      <c r="AE26" s="479"/>
      <c r="AF26" s="479"/>
    </row>
    <row r="27" spans="1:41" ht="15.75" thickBot="1">
      <c r="A27" s="478"/>
      <c r="B27" s="195"/>
      <c r="C27" s="265" t="s">
        <v>353</v>
      </c>
      <c r="D27" s="67">
        <v>0.15</v>
      </c>
      <c r="E27" s="67"/>
      <c r="F27" s="67">
        <v>4.5999999999999996</v>
      </c>
      <c r="G27" s="67"/>
      <c r="H27" s="67">
        <v>6.6</v>
      </c>
      <c r="I27" s="67"/>
      <c r="J27" s="67">
        <v>10.65</v>
      </c>
      <c r="K27" s="67"/>
      <c r="L27" s="67">
        <v>13.45</v>
      </c>
      <c r="M27" s="67"/>
      <c r="N27" s="67">
        <v>17.5</v>
      </c>
      <c r="O27" s="67"/>
      <c r="P27" s="67">
        <v>19.5</v>
      </c>
      <c r="Q27" s="67"/>
      <c r="R27" s="67">
        <v>23.95</v>
      </c>
      <c r="X27" s="195"/>
      <c r="Y27" s="265" t="s">
        <v>353</v>
      </c>
      <c r="Z27" s="67">
        <v>0.15</v>
      </c>
      <c r="AA27" s="67"/>
      <c r="AB27" s="67">
        <v>4.5999999999999996</v>
      </c>
      <c r="AC27" s="67"/>
      <c r="AD27" s="67">
        <v>6.6</v>
      </c>
      <c r="AE27" s="67"/>
      <c r="AF27" s="67">
        <v>10.65</v>
      </c>
      <c r="AG27" s="67"/>
      <c r="AH27" s="67">
        <v>13.45</v>
      </c>
      <c r="AI27" s="67"/>
      <c r="AJ27" s="67">
        <v>17.5</v>
      </c>
      <c r="AK27" s="67"/>
      <c r="AL27" s="67">
        <v>19.5</v>
      </c>
      <c r="AM27" s="67"/>
      <c r="AN27" s="67">
        <v>23.95</v>
      </c>
    </row>
    <row r="28" spans="1:41" ht="18" thickBot="1">
      <c r="A28" s="478"/>
      <c r="B28" s="265" t="s">
        <v>352</v>
      </c>
      <c r="C28" s="195"/>
      <c r="R28" s="269"/>
      <c r="T28" s="278" t="s">
        <v>395</v>
      </c>
      <c r="U28" s="279" t="s">
        <v>396</v>
      </c>
      <c r="V28" s="280" t="s">
        <v>397</v>
      </c>
      <c r="X28" s="265" t="s">
        <v>352</v>
      </c>
      <c r="Y28" s="195"/>
      <c r="AN28" s="269"/>
    </row>
    <row r="29" spans="1:41">
      <c r="A29" s="478"/>
      <c r="B29" s="252">
        <v>16.8</v>
      </c>
      <c r="D29" s="284">
        <f>'12.Rigidezze di piano'!$M$77</f>
        <v>13.541843580163041</v>
      </c>
      <c r="E29" s="192"/>
      <c r="F29" s="192"/>
      <c r="G29" s="192"/>
      <c r="H29" s="284">
        <f>'12.Rigidezze di piano'!$M$61</f>
        <v>29.192188140706456</v>
      </c>
      <c r="I29" s="192"/>
      <c r="J29" s="192"/>
      <c r="K29" s="192"/>
      <c r="L29" s="192"/>
      <c r="M29" s="192"/>
      <c r="N29" s="284">
        <f>'12.Rigidezze di piano'!$M$61</f>
        <v>29.192188140706456</v>
      </c>
      <c r="O29" s="192"/>
      <c r="P29" s="192"/>
      <c r="Q29" s="192"/>
      <c r="R29" s="285">
        <f>'12.Rigidezze di piano'!$M$77</f>
        <v>13.541843580163041</v>
      </c>
      <c r="T29" s="1">
        <f>SUM(D29:R29)</f>
        <v>85.468063441739005</v>
      </c>
      <c r="U29" s="1">
        <f>T29*B29</f>
        <v>1435.8634658212154</v>
      </c>
      <c r="V29" s="1">
        <f>T29*B29^2</f>
        <v>24122.506225796416</v>
      </c>
      <c r="X29" s="252">
        <v>16.8</v>
      </c>
      <c r="Z29" s="284">
        <f>'12.Rigidezze di piano'!$AB$53</f>
        <v>39.180740919097403</v>
      </c>
      <c r="AA29" s="192"/>
      <c r="AB29" s="192"/>
      <c r="AC29" s="192"/>
      <c r="AD29" s="284">
        <f>'12.Rigidezze di piano'!$AB$85</f>
        <v>17.688926997110539</v>
      </c>
      <c r="AE29" s="192"/>
      <c r="AF29" s="192"/>
      <c r="AG29" s="192"/>
      <c r="AH29" s="192"/>
      <c r="AI29" s="192"/>
      <c r="AJ29" s="284">
        <f>'12.Rigidezze di piano'!$AB$85</f>
        <v>17.688926997110539</v>
      </c>
      <c r="AK29" s="192"/>
      <c r="AL29" s="192"/>
      <c r="AM29" s="192"/>
      <c r="AN29" s="285">
        <f>'12.Rigidezze di piano'!$AB$53</f>
        <v>39.180740919097403</v>
      </c>
    </row>
    <row r="30" spans="1:41">
      <c r="A30" s="478"/>
      <c r="B30" s="266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271"/>
      <c r="T30" s="194"/>
      <c r="U30" s="1"/>
      <c r="V30" s="1"/>
      <c r="X30" s="266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271"/>
    </row>
    <row r="31" spans="1:41">
      <c r="A31" s="478"/>
      <c r="B31" s="252">
        <v>14.55</v>
      </c>
      <c r="D31" s="192"/>
      <c r="E31" s="192"/>
      <c r="F31" s="192"/>
      <c r="G31" s="192"/>
      <c r="H31" s="284">
        <f>'12.Rigidezze di piano'!$M$77</f>
        <v>13.541843580163041</v>
      </c>
      <c r="I31" s="192"/>
      <c r="J31" s="284">
        <f>'12.Rigidezze di piano'!$M$53</f>
        <v>66.427330152039644</v>
      </c>
      <c r="K31" s="192"/>
      <c r="L31" s="284">
        <f>'12.Rigidezze di piano'!$M$53</f>
        <v>66.427330152039644</v>
      </c>
      <c r="M31" s="192"/>
      <c r="N31" s="284">
        <f>'12.Rigidezze di piano'!$M$77</f>
        <v>13.541843580163041</v>
      </c>
      <c r="O31" s="192"/>
      <c r="P31" s="192"/>
      <c r="Q31" s="192"/>
      <c r="R31" s="271"/>
      <c r="T31" s="1">
        <f>SUM(D31:R31)</f>
        <v>159.93834746440538</v>
      </c>
      <c r="U31" s="1">
        <f>T31*B31</f>
        <v>2327.1029556070985</v>
      </c>
      <c r="V31" s="1">
        <f>T31*B31^2</f>
        <v>33859.34800408328</v>
      </c>
      <c r="X31" s="252">
        <v>14.55</v>
      </c>
      <c r="Z31" s="192"/>
      <c r="AA31" s="192"/>
      <c r="AB31" s="192"/>
      <c r="AC31" s="192"/>
      <c r="AD31" s="284">
        <f>'12.Rigidezze di piano'!$AB$53</f>
        <v>39.180740919097403</v>
      </c>
      <c r="AE31" s="192"/>
      <c r="AF31" s="284">
        <f>'12.Rigidezze di piano'!$AB$69</f>
        <v>2.5741372228462502</v>
      </c>
      <c r="AG31" s="192"/>
      <c r="AH31" s="284">
        <f>'12.Rigidezze di piano'!$AB$69</f>
        <v>2.5741372228462502</v>
      </c>
      <c r="AI31" s="192"/>
      <c r="AJ31" s="284">
        <f>'12.Rigidezze di piano'!$AB$53</f>
        <v>39.180740919097403</v>
      </c>
      <c r="AK31" s="192"/>
      <c r="AL31" s="192"/>
      <c r="AM31" s="192"/>
      <c r="AN31" s="271"/>
    </row>
    <row r="32" spans="1:41">
      <c r="A32" s="478"/>
      <c r="B32" s="267"/>
      <c r="D32" s="192"/>
      <c r="E32" s="192"/>
      <c r="G32" s="192"/>
      <c r="O32" s="192"/>
      <c r="P32" s="192"/>
      <c r="Q32" s="192"/>
      <c r="R32" s="271"/>
      <c r="T32" s="194"/>
      <c r="U32" s="1"/>
      <c r="V32" s="1"/>
      <c r="X32" s="267"/>
      <c r="Z32" s="192"/>
      <c r="AA32" s="192"/>
      <c r="AC32" s="192"/>
      <c r="AK32" s="192"/>
      <c r="AL32" s="192"/>
      <c r="AM32" s="192"/>
      <c r="AN32" s="271"/>
    </row>
    <row r="33" spans="1:41">
      <c r="A33" s="478"/>
      <c r="B33" s="252">
        <f>B36+4.62</f>
        <v>13.55</v>
      </c>
      <c r="D33" s="284">
        <f>'12.Rigidezze di piano'!$M$77</f>
        <v>13.541843580163041</v>
      </c>
      <c r="E33" s="192"/>
      <c r="F33" s="284">
        <f>'12.Rigidezze di piano'!$M$61</f>
        <v>29.192188140706456</v>
      </c>
      <c r="I33" s="192"/>
      <c r="J33" s="192"/>
      <c r="K33" s="192"/>
      <c r="L33" s="192"/>
      <c r="M33" s="192"/>
      <c r="O33" s="192"/>
      <c r="P33" s="284">
        <f>'12.Rigidezze di piano'!$M$61</f>
        <v>29.192188140706456</v>
      </c>
      <c r="Q33" s="192"/>
      <c r="R33" s="285">
        <f>'12.Rigidezze di piano'!$M$77</f>
        <v>13.541843580163041</v>
      </c>
      <c r="T33" s="1">
        <f>SUM(D33:R33)</f>
        <v>85.468063441739005</v>
      </c>
      <c r="U33" s="1">
        <f>T33*B33</f>
        <v>1158.0922596355636</v>
      </c>
      <c r="V33" s="1">
        <f>T33*B33^2</f>
        <v>15692.150118061887</v>
      </c>
      <c r="X33" s="252">
        <f>X36+4.62</f>
        <v>13.55</v>
      </c>
      <c r="Z33" s="284">
        <f>'12.Rigidezze di piano'!$AB$61</f>
        <v>57.640941274026183</v>
      </c>
      <c r="AA33" s="192"/>
      <c r="AB33" s="284">
        <f>'12.Rigidezze di piano'!$AB$69</f>
        <v>2.5741372228462502</v>
      </c>
      <c r="AE33" s="192"/>
      <c r="AF33" s="192"/>
      <c r="AG33" s="192"/>
      <c r="AH33" s="192"/>
      <c r="AI33" s="192"/>
      <c r="AK33" s="192"/>
      <c r="AL33" s="284">
        <f>'12.Rigidezze di piano'!$AB$69</f>
        <v>2.5741372228462502</v>
      </c>
      <c r="AM33" s="192"/>
      <c r="AN33" s="285">
        <f>'12.Rigidezze di piano'!$AB$61</f>
        <v>57.640941274026183</v>
      </c>
    </row>
    <row r="34" spans="1:41">
      <c r="A34" s="478"/>
      <c r="B34" s="429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271"/>
      <c r="T34" s="194"/>
      <c r="U34" s="1"/>
      <c r="V34" s="1"/>
      <c r="X34" s="429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271"/>
    </row>
    <row r="35" spans="1:41">
      <c r="A35" s="478"/>
      <c r="B35" s="429"/>
      <c r="C35" s="38"/>
      <c r="D35" s="63"/>
      <c r="E35" s="192"/>
      <c r="F35" s="63"/>
      <c r="G35" s="192"/>
      <c r="H35" s="192"/>
      <c r="I35" s="192"/>
      <c r="J35" s="192"/>
      <c r="K35" s="192"/>
      <c r="L35" s="192"/>
      <c r="M35" s="192"/>
      <c r="N35" s="192"/>
      <c r="O35" s="192"/>
      <c r="P35" s="63"/>
      <c r="Q35" s="192"/>
      <c r="R35" s="271"/>
      <c r="T35" s="194"/>
      <c r="U35" s="1"/>
      <c r="V35" s="1"/>
      <c r="X35" s="429"/>
      <c r="Y35" s="38"/>
      <c r="Z35" s="63"/>
      <c r="AA35" s="192"/>
      <c r="AB35" s="63"/>
      <c r="AC35" s="192"/>
      <c r="AD35" s="192"/>
      <c r="AE35" s="192"/>
      <c r="AF35" s="192"/>
      <c r="AG35" s="192"/>
      <c r="AH35" s="192"/>
      <c r="AI35" s="192"/>
      <c r="AJ35" s="192"/>
      <c r="AK35" s="192"/>
      <c r="AL35" s="63"/>
      <c r="AM35" s="192"/>
      <c r="AN35" s="271"/>
    </row>
    <row r="36" spans="1:41">
      <c r="A36" s="478"/>
      <c r="B36" s="252">
        <f>B39+3.78</f>
        <v>8.93</v>
      </c>
      <c r="C36" s="38"/>
      <c r="D36" s="284">
        <f>'12.Rigidezze di piano'!$M$77</f>
        <v>13.541843580163041</v>
      </c>
      <c r="E36" s="192"/>
      <c r="F36" s="284">
        <f>'12.Rigidezze di piano'!$M$69</f>
        <v>49.797987544003895</v>
      </c>
      <c r="G36" s="192"/>
      <c r="H36" s="192"/>
      <c r="I36" s="192"/>
      <c r="J36" s="284">
        <f>'12.Rigidezze di piano'!$M$77</f>
        <v>13.541843580163041</v>
      </c>
      <c r="K36" s="192"/>
      <c r="L36" s="284">
        <f>'12.Rigidezze di piano'!$M$77</f>
        <v>13.541843580163041</v>
      </c>
      <c r="M36" s="192"/>
      <c r="N36" s="192"/>
      <c r="O36" s="192"/>
      <c r="P36" s="284">
        <f>'12.Rigidezze di piano'!$M$69</f>
        <v>49.797987544003895</v>
      </c>
      <c r="Q36" s="192"/>
      <c r="R36" s="285">
        <f>'12.Rigidezze di piano'!$M$77</f>
        <v>13.541843580163041</v>
      </c>
      <c r="T36" s="1">
        <f>SUM(D36:R36)</f>
        <v>153.76334940865996</v>
      </c>
      <c r="U36" s="1">
        <f>T36*B36</f>
        <v>1373.1067102193335</v>
      </c>
      <c r="V36" s="1">
        <f>T36*B36^2</f>
        <v>12261.842922258647</v>
      </c>
      <c r="X36" s="252">
        <f>X39+3.78</f>
        <v>8.93</v>
      </c>
      <c r="Y36" s="38"/>
      <c r="Z36" s="284">
        <f>'12.Rigidezze di piano'!$AB$61</f>
        <v>57.640941274026183</v>
      </c>
      <c r="AA36" s="192"/>
      <c r="AB36" s="284">
        <f>'12.Rigidezze di piano'!$AB$77</f>
        <v>5.7987618994891621</v>
      </c>
      <c r="AC36" s="192"/>
      <c r="AD36" s="192"/>
      <c r="AE36" s="192"/>
      <c r="AF36" s="284">
        <f>'12.Rigidezze di piano'!$AB$53</f>
        <v>39.180740919097403</v>
      </c>
      <c r="AG36" s="192"/>
      <c r="AH36" s="284">
        <f>'12.Rigidezze di piano'!$AB$53</f>
        <v>39.180740919097403</v>
      </c>
      <c r="AI36" s="192"/>
      <c r="AJ36" s="192"/>
      <c r="AK36" s="192"/>
      <c r="AL36" s="284">
        <f>'12.Rigidezze di piano'!$AB$77</f>
        <v>5.7987618994891621</v>
      </c>
      <c r="AM36" s="192"/>
      <c r="AN36" s="285">
        <f>'12.Rigidezze di piano'!$AB$61</f>
        <v>57.640941274026183</v>
      </c>
    </row>
    <row r="37" spans="1:41">
      <c r="A37" s="478"/>
      <c r="B37" s="429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271"/>
      <c r="T37" s="194"/>
      <c r="U37" s="1"/>
      <c r="V37" s="1"/>
      <c r="X37" s="429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271"/>
    </row>
    <row r="38" spans="1:41">
      <c r="A38" s="478"/>
      <c r="B38" s="429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271"/>
      <c r="T38" s="194"/>
      <c r="U38" s="1"/>
      <c r="V38" s="1"/>
      <c r="X38" s="429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271"/>
    </row>
    <row r="39" spans="1:41">
      <c r="A39" s="478"/>
      <c r="B39" s="252">
        <v>5.15</v>
      </c>
      <c r="D39" s="284">
        <f>'12.Rigidezze di piano'!$M$77</f>
        <v>13.541843580163041</v>
      </c>
      <c r="E39" s="192"/>
      <c r="F39" s="284">
        <f>'12.Rigidezze di piano'!$M$61</f>
        <v>29.192188140706456</v>
      </c>
      <c r="G39" s="192"/>
      <c r="H39" s="192"/>
      <c r="I39" s="192"/>
      <c r="J39" s="192"/>
      <c r="K39" s="192"/>
      <c r="L39" s="192"/>
      <c r="M39" s="192"/>
      <c r="N39" s="192"/>
      <c r="O39" s="192"/>
      <c r="P39" s="284">
        <f>'12.Rigidezze di piano'!$M$61</f>
        <v>29.192188140706456</v>
      </c>
      <c r="Q39" s="192"/>
      <c r="R39" s="285">
        <f>'12.Rigidezze di piano'!$M$77</f>
        <v>13.541843580163041</v>
      </c>
      <c r="T39" s="1">
        <f>SUM(D39:R39)</f>
        <v>85.468063441739005</v>
      </c>
      <c r="U39" s="1">
        <f>T39*B39</f>
        <v>440.1605267249559</v>
      </c>
      <c r="V39" s="1">
        <f>T39*B39^2</f>
        <v>2266.8267126335231</v>
      </c>
      <c r="X39" s="252">
        <v>5.15</v>
      </c>
      <c r="Z39" s="284">
        <f>'12.Rigidezze di piano'!$AB$61</f>
        <v>57.640941274026183</v>
      </c>
      <c r="AA39" s="192"/>
      <c r="AB39" s="284">
        <f>'12.Rigidezze di piano'!$AB$69</f>
        <v>2.5741372228462502</v>
      </c>
      <c r="AC39" s="192"/>
      <c r="AD39" s="192"/>
      <c r="AE39" s="192"/>
      <c r="AF39" s="192"/>
      <c r="AG39" s="192"/>
      <c r="AH39" s="192"/>
      <c r="AI39" s="192"/>
      <c r="AJ39" s="192"/>
      <c r="AK39" s="192"/>
      <c r="AL39" s="284">
        <f>'12.Rigidezze di piano'!$AB$69</f>
        <v>2.5741372228462502</v>
      </c>
      <c r="AM39" s="192"/>
      <c r="AN39" s="285">
        <f>'12.Rigidezze di piano'!$AB$61</f>
        <v>57.640941274026183</v>
      </c>
    </row>
    <row r="40" spans="1:41">
      <c r="A40" s="478"/>
      <c r="B40" s="266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271"/>
      <c r="T40" s="194"/>
      <c r="U40" s="1"/>
      <c r="V40" s="1"/>
      <c r="X40" s="266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271"/>
    </row>
    <row r="41" spans="1:41">
      <c r="A41" s="478"/>
      <c r="B41" s="252">
        <v>4.55</v>
      </c>
      <c r="D41" s="192"/>
      <c r="E41" s="192"/>
      <c r="G41" s="192"/>
      <c r="H41" s="284">
        <f>'12.Rigidezze di piano'!$M$77</f>
        <v>13.541843580163041</v>
      </c>
      <c r="I41" s="192"/>
      <c r="J41" s="284">
        <f>'12.Rigidezze di piano'!$M$53</f>
        <v>66.427330152039644</v>
      </c>
      <c r="K41" s="192"/>
      <c r="L41" s="284">
        <f>'12.Rigidezze di piano'!$M$53</f>
        <v>66.427330152039644</v>
      </c>
      <c r="M41" s="192"/>
      <c r="N41" s="284">
        <f>'12.Rigidezze di piano'!$M$77</f>
        <v>13.541843580163041</v>
      </c>
      <c r="O41" s="192"/>
      <c r="P41" s="192"/>
      <c r="Q41" s="192"/>
      <c r="R41" s="271"/>
      <c r="T41" s="1">
        <f>SUM(D41:R41)</f>
        <v>159.93834746440538</v>
      </c>
      <c r="U41" s="1">
        <f>T41*B41</f>
        <v>727.71948096304448</v>
      </c>
      <c r="V41" s="1">
        <f>T41*B41^2</f>
        <v>3311.1236383818518</v>
      </c>
      <c r="X41" s="252">
        <v>4.55</v>
      </c>
      <c r="Z41" s="192"/>
      <c r="AA41" s="192"/>
      <c r="AC41" s="192"/>
      <c r="AD41" s="284">
        <f>'12.Rigidezze di piano'!$AB$53</f>
        <v>39.180740919097403</v>
      </c>
      <c r="AE41" s="192"/>
      <c r="AF41" s="284">
        <f>'12.Rigidezze di piano'!$AB$85</f>
        <v>17.688926997110539</v>
      </c>
      <c r="AG41" s="192"/>
      <c r="AH41" s="284">
        <f>'12.Rigidezze di piano'!$AB$85</f>
        <v>17.688926997110539</v>
      </c>
      <c r="AI41" s="192"/>
      <c r="AJ41" s="284">
        <f>'12.Rigidezze di piano'!$AB$53</f>
        <v>39.180740919097403</v>
      </c>
      <c r="AK41" s="192"/>
      <c r="AL41" s="192"/>
      <c r="AM41" s="192"/>
      <c r="AN41" s="271"/>
    </row>
    <row r="42" spans="1:41">
      <c r="A42" s="478"/>
      <c r="B42" s="267"/>
      <c r="D42" s="192"/>
      <c r="E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271"/>
      <c r="T42" s="194"/>
      <c r="U42" s="1"/>
      <c r="V42" s="1"/>
      <c r="X42" s="267"/>
      <c r="Z42" s="192"/>
      <c r="AA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271"/>
    </row>
    <row r="43" spans="1:41">
      <c r="A43" s="478"/>
      <c r="B43" s="67">
        <v>0.4</v>
      </c>
      <c r="C43" s="38"/>
      <c r="D43" s="284">
        <f>'12.Rigidezze di piano'!$M$77</f>
        <v>13.541843580163041</v>
      </c>
      <c r="E43" s="63"/>
      <c r="F43" s="63"/>
      <c r="G43" s="63"/>
      <c r="H43" s="284">
        <f>'12.Rigidezze di piano'!$M$61</f>
        <v>29.192188140706456</v>
      </c>
      <c r="I43" s="63"/>
      <c r="J43" s="63"/>
      <c r="K43" s="63"/>
      <c r="L43" s="63"/>
      <c r="M43" s="63"/>
      <c r="N43" s="284">
        <f>'12.Rigidezze di piano'!$M$61</f>
        <v>29.192188140706456</v>
      </c>
      <c r="O43" s="63"/>
      <c r="P43" s="63"/>
      <c r="Q43" s="63"/>
      <c r="R43" s="285">
        <f>'12.Rigidezze di piano'!$M$77</f>
        <v>13.541843580163041</v>
      </c>
      <c r="T43" s="1">
        <f>SUM(D43:R43)</f>
        <v>85.468063441739005</v>
      </c>
      <c r="U43" s="1">
        <f>T43*B43</f>
        <v>34.187225376695601</v>
      </c>
      <c r="V43" s="1">
        <f>T43*B43^2</f>
        <v>13.674890150678243</v>
      </c>
      <c r="X43" s="67">
        <v>0.4</v>
      </c>
      <c r="Y43" s="38"/>
      <c r="Z43" s="284">
        <f>'12.Rigidezze di piano'!$AB$53</f>
        <v>39.180740919097403</v>
      </c>
      <c r="AA43" s="63"/>
      <c r="AB43" s="63"/>
      <c r="AC43" s="63"/>
      <c r="AD43" s="284">
        <f>'12.Rigidezze di piano'!$AB$85</f>
        <v>17.688926997110539</v>
      </c>
      <c r="AE43" s="63"/>
      <c r="AF43" s="63"/>
      <c r="AG43" s="63"/>
      <c r="AH43" s="63"/>
      <c r="AI43" s="63"/>
      <c r="AJ43" s="284">
        <f>'12.Rigidezze di piano'!$AB$85</f>
        <v>17.688926997110539</v>
      </c>
      <c r="AK43" s="63"/>
      <c r="AL43" s="63"/>
      <c r="AM43" s="63"/>
      <c r="AN43" s="285">
        <f>'12.Rigidezze di piano'!$AB$53</f>
        <v>39.180740919097403</v>
      </c>
    </row>
    <row r="44" spans="1:41">
      <c r="A44" s="478"/>
      <c r="C44" s="60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4"/>
      <c r="T44" s="194"/>
      <c r="Y44" s="60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4"/>
    </row>
    <row r="45" spans="1:41" ht="15.75" thickBot="1">
      <c r="A45" s="478"/>
      <c r="T45" s="273">
        <f>SUM(T29:T43)</f>
        <v>815.5122981044268</v>
      </c>
      <c r="U45" s="281">
        <f>SUM(U29:U43)</f>
        <v>7496.2326243479083</v>
      </c>
      <c r="V45" s="281">
        <f>SUM(V29:V43)</f>
        <v>91527.472511366272</v>
      </c>
      <c r="AO45" s="272" t="s">
        <v>21</v>
      </c>
    </row>
    <row r="46" spans="1:41">
      <c r="A46" s="478"/>
      <c r="B46" s="480" t="s">
        <v>388</v>
      </c>
      <c r="C46" s="481"/>
      <c r="D46" s="486" t="s">
        <v>389</v>
      </c>
      <c r="E46" s="486" t="s">
        <v>390</v>
      </c>
      <c r="T46" s="194"/>
      <c r="X46" s="275" t="s">
        <v>394</v>
      </c>
      <c r="Z46" s="192">
        <f>SUM(Z29:Z43)</f>
        <v>251.28430566027333</v>
      </c>
      <c r="AA46" s="192"/>
      <c r="AB46" s="192">
        <f>SUM(AB29:AB43)</f>
        <v>10.947036345181662</v>
      </c>
      <c r="AC46" s="192"/>
      <c r="AD46" s="192">
        <f>SUM(AD29:AD43)</f>
        <v>113.73933583241589</v>
      </c>
      <c r="AE46" s="192"/>
      <c r="AF46" s="192">
        <f>SUM(AF29:AF43)</f>
        <v>59.443805139054191</v>
      </c>
      <c r="AG46" s="192"/>
      <c r="AH46" s="192">
        <f>SUM(AH29:AH43)</f>
        <v>59.443805139054191</v>
      </c>
      <c r="AI46" s="192"/>
      <c r="AJ46" s="192">
        <f>SUM(AJ29:AJ43)</f>
        <v>113.73933583241589</v>
      </c>
      <c r="AK46" s="192"/>
      <c r="AL46" s="192">
        <f>SUM(AL29:AL43)</f>
        <v>10.947036345181662</v>
      </c>
      <c r="AM46" s="192"/>
      <c r="AN46" s="192">
        <f>SUM(AN29:AN43)</f>
        <v>251.28430566027333</v>
      </c>
      <c r="AO46" s="283">
        <f>SUM(Z46:AN46)</f>
        <v>870.82896595385023</v>
      </c>
    </row>
    <row r="47" spans="1:41">
      <c r="A47" s="478"/>
      <c r="B47" s="482"/>
      <c r="C47" s="483"/>
      <c r="D47" s="486"/>
      <c r="E47" s="486"/>
      <c r="F47" s="274"/>
      <c r="X47" s="276" t="s">
        <v>391</v>
      </c>
      <c r="Z47" s="282">
        <f>Z46*Z27</f>
        <v>37.692645849041</v>
      </c>
      <c r="AA47" s="282"/>
      <c r="AB47" s="282">
        <f>AB46*AB27</f>
        <v>50.356367187835637</v>
      </c>
      <c r="AC47" s="282"/>
      <c r="AD47" s="282">
        <f>AD46*AD27</f>
        <v>750.67961649394488</v>
      </c>
      <c r="AE47" s="282"/>
      <c r="AF47" s="282">
        <f>AF46*AF27</f>
        <v>633.07652473092719</v>
      </c>
      <c r="AG47" s="282"/>
      <c r="AH47" s="282">
        <f>AH46*AH27</f>
        <v>799.51917912027886</v>
      </c>
      <c r="AI47" s="282"/>
      <c r="AJ47" s="282">
        <f>AJ46*AJ27</f>
        <v>1990.438377067278</v>
      </c>
      <c r="AK47" s="282"/>
      <c r="AL47" s="282">
        <f>AL46*AL27</f>
        <v>213.4672087310424</v>
      </c>
      <c r="AM47" s="282"/>
      <c r="AN47" s="282">
        <f>AN46*AN27</f>
        <v>6018.2591205635463</v>
      </c>
      <c r="AO47" s="281">
        <f>SUM(Z47:AN47)</f>
        <v>10493.489039743894</v>
      </c>
    </row>
    <row r="48" spans="1:41" ht="18" thickBot="1">
      <c r="A48" s="478"/>
      <c r="B48" s="484"/>
      <c r="C48" s="485"/>
      <c r="D48" s="8">
        <f>U45/T45</f>
        <v>9.1920534390126534</v>
      </c>
      <c r="E48" s="251">
        <f>AO47/AO46</f>
        <v>12.049999999999999</v>
      </c>
      <c r="X48" s="277" t="s">
        <v>392</v>
      </c>
      <c r="Z48" s="282">
        <f>Z46*Z27^2</f>
        <v>5.65389687735615</v>
      </c>
      <c r="AA48" s="282"/>
      <c r="AB48" s="282">
        <f>AB46*AB27^2</f>
        <v>231.63928906404394</v>
      </c>
      <c r="AC48" s="282"/>
      <c r="AD48" s="282">
        <f>AD46*AD27^2</f>
        <v>4954.4854688600353</v>
      </c>
      <c r="AE48" s="282"/>
      <c r="AF48" s="282">
        <f>AF46*AF27^2</f>
        <v>6742.2649883843751</v>
      </c>
      <c r="AG48" s="282"/>
      <c r="AH48" s="282">
        <f>AH46*AH27^2</f>
        <v>10753.532959167749</v>
      </c>
      <c r="AI48" s="282"/>
      <c r="AJ48" s="282">
        <f>AJ46*AJ27^2</f>
        <v>34832.671598677363</v>
      </c>
      <c r="AK48" s="282"/>
      <c r="AL48" s="282">
        <f>AL46*AL27^2</f>
        <v>4162.6105702553268</v>
      </c>
      <c r="AM48" s="282"/>
      <c r="AN48" s="282">
        <f>AN46*AN27^2</f>
        <v>144137.30593749692</v>
      </c>
      <c r="AO48" s="281">
        <f>SUM(Z48:AN48)</f>
        <v>205820.16470878315</v>
      </c>
    </row>
    <row r="51" spans="1:40" ht="19.5" thickBot="1">
      <c r="A51" s="478" t="s">
        <v>399</v>
      </c>
      <c r="C51" s="31"/>
      <c r="D51" s="479" t="s">
        <v>351</v>
      </c>
      <c r="E51" s="479"/>
      <c r="F51" s="479"/>
      <c r="G51" s="479"/>
      <c r="H51" s="479"/>
      <c r="I51" s="479"/>
      <c r="J51" s="479"/>
      <c r="Y51" s="31"/>
      <c r="Z51" s="479" t="s">
        <v>387</v>
      </c>
      <c r="AA51" s="479"/>
      <c r="AB51" s="479"/>
      <c r="AC51" s="479"/>
      <c r="AD51" s="479"/>
      <c r="AE51" s="479"/>
      <c r="AF51" s="479"/>
    </row>
    <row r="52" spans="1:40" ht="15.75" thickBot="1">
      <c r="A52" s="478"/>
      <c r="B52" s="195"/>
      <c r="C52" s="265" t="s">
        <v>353</v>
      </c>
      <c r="D52" s="67">
        <v>0.15</v>
      </c>
      <c r="E52" s="67"/>
      <c r="F52" s="67">
        <v>4.5999999999999996</v>
      </c>
      <c r="G52" s="67"/>
      <c r="H52" s="67">
        <v>6.6</v>
      </c>
      <c r="I52" s="67"/>
      <c r="J52" s="67">
        <v>10.65</v>
      </c>
      <c r="K52" s="67"/>
      <c r="L52" s="67">
        <v>13.45</v>
      </c>
      <c r="M52" s="67"/>
      <c r="N52" s="67">
        <v>17.5</v>
      </c>
      <c r="O52" s="67"/>
      <c r="P52" s="67">
        <v>19.5</v>
      </c>
      <c r="Q52" s="67"/>
      <c r="R52" s="67">
        <v>23.95</v>
      </c>
      <c r="X52" s="195"/>
      <c r="Y52" s="265" t="s">
        <v>353</v>
      </c>
      <c r="Z52" s="67">
        <v>0.15</v>
      </c>
      <c r="AA52" s="67"/>
      <c r="AB52" s="67">
        <v>4.5999999999999996</v>
      </c>
      <c r="AC52" s="67"/>
      <c r="AD52" s="67">
        <v>6.6</v>
      </c>
      <c r="AE52" s="67"/>
      <c r="AF52" s="67">
        <v>10.65</v>
      </c>
      <c r="AG52" s="67"/>
      <c r="AH52" s="67">
        <v>13.45</v>
      </c>
      <c r="AI52" s="67"/>
      <c r="AJ52" s="67">
        <v>17.5</v>
      </c>
      <c r="AK52" s="67"/>
      <c r="AL52" s="67">
        <v>19.5</v>
      </c>
      <c r="AM52" s="67"/>
      <c r="AN52" s="67">
        <v>23.95</v>
      </c>
    </row>
    <row r="53" spans="1:40" ht="18" thickBot="1">
      <c r="A53" s="478"/>
      <c r="B53" s="265" t="s">
        <v>352</v>
      </c>
      <c r="C53" s="195"/>
      <c r="R53" s="269"/>
      <c r="T53" s="278" t="s">
        <v>395</v>
      </c>
      <c r="U53" s="279" t="s">
        <v>396</v>
      </c>
      <c r="V53" s="280" t="s">
        <v>397</v>
      </c>
      <c r="X53" s="265" t="s">
        <v>352</v>
      </c>
      <c r="Y53" s="195"/>
      <c r="AN53" s="269"/>
    </row>
    <row r="54" spans="1:40">
      <c r="A54" s="478"/>
      <c r="B54" s="252">
        <v>16.8</v>
      </c>
      <c r="D54" s="286">
        <f>'12.Rigidezze di piano'!$M$122</f>
        <v>11.445398179134358</v>
      </c>
      <c r="E54" s="192"/>
      <c r="F54" s="192"/>
      <c r="G54" s="192"/>
      <c r="H54" s="286">
        <f>'12.Rigidezze di piano'!$M$106</f>
        <v>22.661462691999215</v>
      </c>
      <c r="I54" s="192"/>
      <c r="J54" s="192"/>
      <c r="K54" s="192"/>
      <c r="L54" s="192"/>
      <c r="M54" s="192"/>
      <c r="N54" s="286">
        <f>'12.Rigidezze di piano'!$M$106</f>
        <v>22.661462691999215</v>
      </c>
      <c r="O54" s="192"/>
      <c r="P54" s="192"/>
      <c r="Q54" s="192"/>
      <c r="R54" s="287">
        <f>'12.Rigidezze di piano'!$M$122</f>
        <v>11.445398179134358</v>
      </c>
      <c r="T54" s="1">
        <f>SUM(D54:R54)</f>
        <v>68.213721742267154</v>
      </c>
      <c r="U54" s="1">
        <f>T54*B54</f>
        <v>1145.9905252700883</v>
      </c>
      <c r="V54" s="1">
        <f>T54*B54^2</f>
        <v>19252.640824537481</v>
      </c>
      <c r="X54" s="252">
        <v>16.8</v>
      </c>
      <c r="Z54" s="286">
        <f>'12.Rigidezze di piano'!$AB$98</f>
        <v>29.922736720248633</v>
      </c>
      <c r="AA54" s="192"/>
      <c r="AB54" s="192"/>
      <c r="AC54" s="192"/>
      <c r="AD54" s="286">
        <f>'12.Rigidezze di piano'!$AB$130</f>
        <v>12.454213970802011</v>
      </c>
      <c r="AE54" s="192"/>
      <c r="AF54" s="192"/>
      <c r="AG54" s="192"/>
      <c r="AH54" s="192"/>
      <c r="AI54" s="192"/>
      <c r="AJ54" s="286">
        <f>'12.Rigidezze di piano'!$AB$130</f>
        <v>12.454213970802011</v>
      </c>
      <c r="AK54" s="192"/>
      <c r="AL54" s="192"/>
      <c r="AM54" s="192"/>
      <c r="AN54" s="286">
        <f>'12.Rigidezze di piano'!$AB$98</f>
        <v>29.922736720248633</v>
      </c>
    </row>
    <row r="55" spans="1:40">
      <c r="A55" s="478"/>
      <c r="B55" s="266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271"/>
      <c r="T55" s="194"/>
      <c r="U55" s="1"/>
      <c r="V55" s="1"/>
      <c r="X55" s="266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271"/>
    </row>
    <row r="56" spans="1:40">
      <c r="A56" s="478"/>
      <c r="B56" s="252">
        <v>14.55</v>
      </c>
      <c r="D56" s="192"/>
      <c r="E56" s="192"/>
      <c r="F56" s="192"/>
      <c r="G56" s="192"/>
      <c r="H56" s="286">
        <f>'12.Rigidezze di piano'!$M$122</f>
        <v>11.445398179134358</v>
      </c>
      <c r="I56" s="192"/>
      <c r="J56" s="286">
        <f>'12.Rigidezze di piano'!$M$98</f>
        <v>48.803289271751282</v>
      </c>
      <c r="K56" s="192"/>
      <c r="L56" s="286">
        <f>'12.Rigidezze di piano'!$M$98</f>
        <v>48.803289271751282</v>
      </c>
      <c r="M56" s="192"/>
      <c r="N56" s="286">
        <f>'12.Rigidezze di piano'!$M$122</f>
        <v>11.445398179134358</v>
      </c>
      <c r="O56" s="192"/>
      <c r="P56" s="192"/>
      <c r="Q56" s="192"/>
      <c r="R56" s="271"/>
      <c r="T56" s="1">
        <f>SUM(D56:R56)</f>
        <v>120.49737490177128</v>
      </c>
      <c r="U56" s="1">
        <f>T56*B56</f>
        <v>1753.2368048207722</v>
      </c>
      <c r="V56" s="1">
        <f>T56*B56^2</f>
        <v>25509.595510142237</v>
      </c>
      <c r="X56" s="252">
        <v>14.55</v>
      </c>
      <c r="Z56" s="192"/>
      <c r="AA56" s="192"/>
      <c r="AB56" s="192"/>
      <c r="AC56" s="192"/>
      <c r="AD56" s="286">
        <f>'12.Rigidezze di piano'!$AB$98</f>
        <v>29.922736720248633</v>
      </c>
      <c r="AE56" s="192"/>
      <c r="AF56" s="286">
        <f>'12.Rigidezze di piano'!$AB$114</f>
        <v>2.529342492677038</v>
      </c>
      <c r="AG56" s="192"/>
      <c r="AH56" s="286">
        <f>'12.Rigidezze di piano'!$AB$114</f>
        <v>2.529342492677038</v>
      </c>
      <c r="AI56" s="192"/>
      <c r="AJ56" s="286">
        <f>'12.Rigidezze di piano'!$AB$98</f>
        <v>29.922736720248633</v>
      </c>
      <c r="AK56" s="192"/>
      <c r="AL56" s="192"/>
      <c r="AM56" s="192"/>
      <c r="AN56" s="271"/>
    </row>
    <row r="57" spans="1:40">
      <c r="A57" s="478"/>
      <c r="B57" s="267"/>
      <c r="D57" s="192"/>
      <c r="E57" s="192"/>
      <c r="G57" s="192"/>
      <c r="O57" s="192"/>
      <c r="P57" s="192"/>
      <c r="Q57" s="192"/>
      <c r="R57" s="271"/>
      <c r="T57" s="194"/>
      <c r="U57" s="1"/>
      <c r="V57" s="1"/>
      <c r="X57" s="267"/>
      <c r="Z57" s="192"/>
      <c r="AA57" s="192"/>
      <c r="AC57" s="192"/>
      <c r="AK57" s="192"/>
      <c r="AL57" s="192"/>
      <c r="AM57" s="192"/>
      <c r="AN57" s="271"/>
    </row>
    <row r="58" spans="1:40">
      <c r="A58" s="478"/>
      <c r="B58" s="252">
        <f>B61+4.62</f>
        <v>13.55</v>
      </c>
      <c r="D58" s="286">
        <f>'12.Rigidezze di piano'!$M$122</f>
        <v>11.445398179134358</v>
      </c>
      <c r="E58" s="192"/>
      <c r="F58" s="286">
        <f>'12.Rigidezze di piano'!$M$106</f>
        <v>22.661462691999215</v>
      </c>
      <c r="I58" s="192"/>
      <c r="J58" s="192"/>
      <c r="K58" s="192"/>
      <c r="L58" s="192"/>
      <c r="M58" s="192"/>
      <c r="O58" s="192"/>
      <c r="P58" s="286">
        <f>'12.Rigidezze di piano'!$M$106</f>
        <v>22.661462691999215</v>
      </c>
      <c r="Q58" s="192"/>
      <c r="R58" s="287">
        <f>'12.Rigidezze di piano'!$M$122</f>
        <v>11.445398179134358</v>
      </c>
      <c r="T58" s="1">
        <f>SUM(D58:R58)</f>
        <v>68.213721742267154</v>
      </c>
      <c r="U58" s="1">
        <f>T58*B58</f>
        <v>924.29592960772004</v>
      </c>
      <c r="V58" s="1">
        <f>T58*B58^2</f>
        <v>12524.209846184607</v>
      </c>
      <c r="X58" s="252">
        <f>X61+4.62</f>
        <v>13.55</v>
      </c>
      <c r="Z58" s="286">
        <f>'12.Rigidezze di piano'!$AB$106</f>
        <v>42.849888904136783</v>
      </c>
      <c r="AA58" s="192"/>
      <c r="AB58" s="286">
        <f>'12.Rigidezze di piano'!$AB$114</f>
        <v>2.529342492677038</v>
      </c>
      <c r="AE58" s="192"/>
      <c r="AF58" s="192"/>
      <c r="AG58" s="192"/>
      <c r="AH58" s="192"/>
      <c r="AI58" s="192"/>
      <c r="AK58" s="192"/>
      <c r="AL58" s="286">
        <f>'12.Rigidezze di piano'!$AB$114</f>
        <v>2.529342492677038</v>
      </c>
      <c r="AM58" s="192"/>
      <c r="AN58" s="286">
        <f>'12.Rigidezze di piano'!$AB$106</f>
        <v>42.849888904136783</v>
      </c>
    </row>
    <row r="59" spans="1:40">
      <c r="A59" s="478"/>
      <c r="B59" s="429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271"/>
      <c r="T59" s="194"/>
      <c r="U59" s="1"/>
      <c r="V59" s="1"/>
      <c r="X59" s="429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L59" s="192"/>
      <c r="AM59" s="192"/>
      <c r="AN59" s="271"/>
    </row>
    <row r="60" spans="1:40">
      <c r="A60" s="478"/>
      <c r="B60" s="429"/>
      <c r="C60" s="38"/>
      <c r="D60" s="63"/>
      <c r="E60" s="192"/>
      <c r="F60" s="63"/>
      <c r="G60" s="192"/>
      <c r="H60" s="192"/>
      <c r="I60" s="192"/>
      <c r="J60" s="192"/>
      <c r="K60" s="192"/>
      <c r="L60" s="192"/>
      <c r="M60" s="192"/>
      <c r="N60" s="192"/>
      <c r="O60" s="192"/>
      <c r="P60" s="63"/>
      <c r="Q60" s="192"/>
      <c r="R60" s="271"/>
      <c r="T60" s="194"/>
      <c r="U60" s="1"/>
      <c r="V60" s="1"/>
      <c r="X60" s="429"/>
      <c r="Y60" s="38"/>
      <c r="Z60" s="63"/>
      <c r="AA60" s="192"/>
      <c r="AB60" s="63"/>
      <c r="AC60" s="192"/>
      <c r="AD60" s="192"/>
      <c r="AE60" s="192"/>
      <c r="AF60" s="192"/>
      <c r="AG60" s="192"/>
      <c r="AH60" s="192"/>
      <c r="AI60" s="192"/>
      <c r="AJ60" s="192"/>
      <c r="AK60" s="192"/>
      <c r="AL60" s="63"/>
      <c r="AM60" s="192"/>
      <c r="AN60" s="271"/>
    </row>
    <row r="61" spans="1:40">
      <c r="A61" s="478"/>
      <c r="B61" s="252">
        <f>B64+3.78</f>
        <v>8.93</v>
      </c>
      <c r="C61" s="38"/>
      <c r="D61" s="286">
        <f>'12.Rigidezze di piano'!$M$122</f>
        <v>11.445398179134358</v>
      </c>
      <c r="E61" s="192"/>
      <c r="F61" s="286">
        <f>'12.Rigidezze di piano'!$M$114</f>
        <v>37.430354804523596</v>
      </c>
      <c r="G61" s="192"/>
      <c r="H61" s="192"/>
      <c r="I61" s="192"/>
      <c r="J61" s="286">
        <f>'12.Rigidezze di piano'!$M$122</f>
        <v>11.445398179134358</v>
      </c>
      <c r="K61" s="192"/>
      <c r="L61" s="286">
        <f>'12.Rigidezze di piano'!$M$122</f>
        <v>11.445398179134358</v>
      </c>
      <c r="M61" s="192"/>
      <c r="N61" s="192"/>
      <c r="O61" s="192"/>
      <c r="P61" s="286">
        <f>'12.Rigidezze di piano'!$M$114</f>
        <v>37.430354804523596</v>
      </c>
      <c r="Q61" s="192"/>
      <c r="R61" s="287">
        <f>'12.Rigidezze di piano'!$M$122</f>
        <v>11.445398179134358</v>
      </c>
      <c r="T61" s="1">
        <f>SUM(D61:R61)</f>
        <v>120.64230232558462</v>
      </c>
      <c r="U61" s="1">
        <f>T61*B61</f>
        <v>1077.3357597674706</v>
      </c>
      <c r="V61" s="1">
        <f>T61*B61^2</f>
        <v>9620.6083347235126</v>
      </c>
      <c r="X61" s="252">
        <f>X64+3.78</f>
        <v>8.93</v>
      </c>
      <c r="Y61" s="38"/>
      <c r="Z61" s="286">
        <f>'12.Rigidezze di piano'!$AB$106</f>
        <v>42.849888904136783</v>
      </c>
      <c r="AA61" s="192"/>
      <c r="AB61" s="286">
        <f>'12.Rigidezze di piano'!$AB$122</f>
        <v>6.0235981220437953</v>
      </c>
      <c r="AC61" s="192"/>
      <c r="AD61" s="192"/>
      <c r="AE61" s="192"/>
      <c r="AF61" s="286">
        <f>'12.Rigidezze di piano'!$AB$98</f>
        <v>29.922736720248633</v>
      </c>
      <c r="AG61" s="192"/>
      <c r="AH61" s="286">
        <f>'12.Rigidezze di piano'!$AB$98</f>
        <v>29.922736720248633</v>
      </c>
      <c r="AI61" s="192"/>
      <c r="AJ61" s="192"/>
      <c r="AK61" s="192"/>
      <c r="AL61" s="286">
        <f>'12.Rigidezze di piano'!$AB$122</f>
        <v>6.0235981220437953</v>
      </c>
      <c r="AM61" s="192"/>
      <c r="AN61" s="286">
        <f>'12.Rigidezze di piano'!$AB$106</f>
        <v>42.849888904136783</v>
      </c>
    </row>
    <row r="62" spans="1:40">
      <c r="A62" s="478"/>
      <c r="B62" s="429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271"/>
      <c r="T62" s="194"/>
      <c r="U62" s="1"/>
      <c r="V62" s="1"/>
      <c r="X62" s="429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271"/>
    </row>
    <row r="63" spans="1:40">
      <c r="A63" s="478"/>
      <c r="B63" s="429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271"/>
      <c r="T63" s="194"/>
      <c r="U63" s="1"/>
      <c r="V63" s="1"/>
      <c r="X63" s="429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271"/>
    </row>
    <row r="64" spans="1:40">
      <c r="A64" s="478"/>
      <c r="B64" s="252">
        <v>5.15</v>
      </c>
      <c r="D64" s="286">
        <f>'12.Rigidezze di piano'!$M$122</f>
        <v>11.445398179134358</v>
      </c>
      <c r="E64" s="192"/>
      <c r="F64" s="286">
        <f>'12.Rigidezze di piano'!$M$106</f>
        <v>22.661462691999215</v>
      </c>
      <c r="G64" s="192"/>
      <c r="H64" s="192"/>
      <c r="I64" s="192"/>
      <c r="J64" s="192"/>
      <c r="K64" s="192"/>
      <c r="L64" s="192"/>
      <c r="M64" s="192"/>
      <c r="N64" s="192"/>
      <c r="O64" s="192"/>
      <c r="P64" s="286">
        <f>'12.Rigidezze di piano'!$M$106</f>
        <v>22.661462691999215</v>
      </c>
      <c r="Q64" s="192"/>
      <c r="R64" s="287">
        <f>'12.Rigidezze di piano'!$M$122</f>
        <v>11.445398179134358</v>
      </c>
      <c r="T64" s="1">
        <f>SUM(D64:R64)</f>
        <v>68.213721742267154</v>
      </c>
      <c r="U64" s="1">
        <f>T64*B64</f>
        <v>351.30066697267586</v>
      </c>
      <c r="V64" s="1">
        <f>T64*B64^2</f>
        <v>1809.1984349092809</v>
      </c>
      <c r="X64" s="252">
        <v>5.15</v>
      </c>
      <c r="Z64" s="286">
        <f>'12.Rigidezze di piano'!$AB$106</f>
        <v>42.849888904136783</v>
      </c>
      <c r="AA64" s="192"/>
      <c r="AB64" s="286">
        <f>'12.Rigidezze di piano'!$AB$114</f>
        <v>2.529342492677038</v>
      </c>
      <c r="AC64" s="192"/>
      <c r="AD64" s="192"/>
      <c r="AE64" s="192"/>
      <c r="AF64" s="192"/>
      <c r="AG64" s="192"/>
      <c r="AH64" s="192"/>
      <c r="AI64" s="192"/>
      <c r="AJ64" s="192"/>
      <c r="AK64" s="192"/>
      <c r="AL64" s="286">
        <f>'12.Rigidezze di piano'!$AB$114</f>
        <v>2.529342492677038</v>
      </c>
      <c r="AM64" s="192"/>
      <c r="AN64" s="286">
        <f>'12.Rigidezze di piano'!$AB$106</f>
        <v>42.849888904136783</v>
      </c>
    </row>
    <row r="65" spans="1:41">
      <c r="A65" s="478"/>
      <c r="B65" s="266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271"/>
      <c r="T65" s="194"/>
      <c r="U65" s="1"/>
      <c r="V65" s="1"/>
      <c r="X65" s="266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271"/>
    </row>
    <row r="66" spans="1:41">
      <c r="A66" s="478"/>
      <c r="B66" s="252">
        <v>4.55</v>
      </c>
      <c r="D66" s="192"/>
      <c r="E66" s="192"/>
      <c r="G66" s="192"/>
      <c r="H66" s="286">
        <f>'12.Rigidezze di piano'!$M$122</f>
        <v>11.445398179134358</v>
      </c>
      <c r="I66" s="192"/>
      <c r="J66" s="286">
        <f>'12.Rigidezze di piano'!$M$98</f>
        <v>48.803289271751282</v>
      </c>
      <c r="K66" s="192"/>
      <c r="L66" s="286">
        <f>'12.Rigidezze di piano'!$M$98</f>
        <v>48.803289271751282</v>
      </c>
      <c r="M66" s="192"/>
      <c r="N66" s="286">
        <f>'12.Rigidezze di piano'!$M$122</f>
        <v>11.445398179134358</v>
      </c>
      <c r="O66" s="192"/>
      <c r="P66" s="192"/>
      <c r="Q66" s="192"/>
      <c r="R66" s="271"/>
      <c r="T66" s="1">
        <f>SUM(D66:R66)</f>
        <v>120.49737490177128</v>
      </c>
      <c r="U66" s="1">
        <f>T66*B66</f>
        <v>548.26305580305927</v>
      </c>
      <c r="V66" s="1">
        <f>T66*B66^2</f>
        <v>2494.5969039039196</v>
      </c>
      <c r="X66" s="252">
        <v>4.55</v>
      </c>
      <c r="Z66" s="192"/>
      <c r="AA66" s="192"/>
      <c r="AC66" s="192"/>
      <c r="AD66" s="286">
        <f>'12.Rigidezze di piano'!$AB$98</f>
        <v>29.922736720248633</v>
      </c>
      <c r="AE66" s="192"/>
      <c r="AF66" s="286">
        <f>'12.Rigidezze di piano'!$AB$130</f>
        <v>12.454213970802011</v>
      </c>
      <c r="AG66" s="192"/>
      <c r="AH66" s="286">
        <f>'12.Rigidezze di piano'!$AB$130</f>
        <v>12.454213970802011</v>
      </c>
      <c r="AI66" s="192"/>
      <c r="AJ66" s="286">
        <f>'12.Rigidezze di piano'!$AB$98</f>
        <v>29.922736720248633</v>
      </c>
      <c r="AK66" s="192"/>
      <c r="AL66" s="192"/>
      <c r="AM66" s="192"/>
      <c r="AN66" s="271"/>
    </row>
    <row r="67" spans="1:41">
      <c r="A67" s="478"/>
      <c r="B67" s="267"/>
      <c r="D67" s="192"/>
      <c r="E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271"/>
      <c r="T67" s="194"/>
      <c r="U67" s="1"/>
      <c r="V67" s="1"/>
      <c r="X67" s="267"/>
      <c r="Z67" s="192"/>
      <c r="AA67" s="192"/>
      <c r="AC67" s="192"/>
      <c r="AD67" s="192"/>
      <c r="AE67" s="192"/>
      <c r="AF67" s="192"/>
      <c r="AG67" s="192"/>
      <c r="AH67" s="192"/>
      <c r="AI67" s="192"/>
      <c r="AJ67" s="192"/>
      <c r="AK67" s="192"/>
      <c r="AL67" s="192"/>
      <c r="AM67" s="192"/>
      <c r="AN67" s="271"/>
    </row>
    <row r="68" spans="1:41">
      <c r="A68" s="478"/>
      <c r="B68" s="67">
        <v>0.4</v>
      </c>
      <c r="C68" s="38"/>
      <c r="D68" s="286">
        <f>'12.Rigidezze di piano'!$M$122</f>
        <v>11.445398179134358</v>
      </c>
      <c r="E68" s="63"/>
      <c r="F68" s="63"/>
      <c r="G68" s="63"/>
      <c r="H68" s="286">
        <f>'12.Rigidezze di piano'!$M$106</f>
        <v>22.661462691999215</v>
      </c>
      <c r="I68" s="63"/>
      <c r="J68" s="63"/>
      <c r="K68" s="63"/>
      <c r="L68" s="63"/>
      <c r="M68" s="63"/>
      <c r="N68" s="286">
        <f>'12.Rigidezze di piano'!$M$106</f>
        <v>22.661462691999215</v>
      </c>
      <c r="O68" s="63"/>
      <c r="P68" s="63"/>
      <c r="Q68" s="63"/>
      <c r="R68" s="287">
        <f>'12.Rigidezze di piano'!$M$122</f>
        <v>11.445398179134358</v>
      </c>
      <c r="T68" s="1">
        <f>SUM(D68:R68)</f>
        <v>68.213721742267154</v>
      </c>
      <c r="U68" s="1">
        <f>T68*B68</f>
        <v>27.285488696906864</v>
      </c>
      <c r="V68" s="1">
        <f>T68*B68^2</f>
        <v>10.914195478762746</v>
      </c>
      <c r="X68" s="67">
        <v>0.4</v>
      </c>
      <c r="Y68" s="38"/>
      <c r="Z68" s="286">
        <f>'12.Rigidezze di piano'!$AB$98</f>
        <v>29.922736720248633</v>
      </c>
      <c r="AA68" s="63"/>
      <c r="AB68" s="63"/>
      <c r="AC68" s="63"/>
      <c r="AD68" s="286">
        <f>'12.Rigidezze di piano'!$AB$130</f>
        <v>12.454213970802011</v>
      </c>
      <c r="AE68" s="63"/>
      <c r="AF68" s="63"/>
      <c r="AG68" s="63"/>
      <c r="AH68" s="63"/>
      <c r="AI68" s="63"/>
      <c r="AJ68" s="286">
        <f>'12.Rigidezze di piano'!$AB$130</f>
        <v>12.454213970802011</v>
      </c>
      <c r="AK68" s="63"/>
      <c r="AL68" s="63"/>
      <c r="AM68" s="63"/>
      <c r="AN68" s="286">
        <f>'12.Rigidezze di piano'!$AB$98</f>
        <v>29.922736720248633</v>
      </c>
    </row>
    <row r="69" spans="1:41">
      <c r="A69" s="478"/>
      <c r="C69" s="60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4"/>
      <c r="T69" s="194"/>
      <c r="Y69" s="60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4"/>
    </row>
    <row r="70" spans="1:41" ht="15.75" thickBot="1">
      <c r="A70" s="478"/>
      <c r="T70" s="273">
        <f>SUM(T54:T68)</f>
        <v>634.49193909819576</v>
      </c>
      <c r="U70" s="281">
        <f>SUM(U54:U68)</f>
        <v>5827.7082309386933</v>
      </c>
      <c r="V70" s="281">
        <f>SUM(V54:V68)</f>
        <v>71221.764049879799</v>
      </c>
      <c r="AO70" s="272" t="s">
        <v>21</v>
      </c>
    </row>
    <row r="71" spans="1:41">
      <c r="A71" s="478"/>
      <c r="B71" s="480" t="s">
        <v>388</v>
      </c>
      <c r="C71" s="481"/>
      <c r="D71" s="486" t="s">
        <v>389</v>
      </c>
      <c r="E71" s="486" t="s">
        <v>390</v>
      </c>
      <c r="T71" s="194"/>
      <c r="X71" s="275" t="s">
        <v>394</v>
      </c>
      <c r="Z71" s="192">
        <f>SUM(Z54:Z68)</f>
        <v>188.3951401529076</v>
      </c>
      <c r="AA71" s="192"/>
      <c r="AB71" s="192">
        <f>SUM(AB54:AB68)</f>
        <v>11.082283107397872</v>
      </c>
      <c r="AC71" s="192"/>
      <c r="AD71" s="192">
        <f>SUM(AD54:AD68)</f>
        <v>84.75390138210129</v>
      </c>
      <c r="AE71" s="192"/>
      <c r="AF71" s="192">
        <f>SUM(AF54:AF68)</f>
        <v>44.906293183727676</v>
      </c>
      <c r="AG71" s="192"/>
      <c r="AH71" s="192">
        <f>SUM(AH54:AH68)</f>
        <v>44.906293183727676</v>
      </c>
      <c r="AI71" s="192"/>
      <c r="AJ71" s="192">
        <f>SUM(AJ54:AJ68)</f>
        <v>84.75390138210129</v>
      </c>
      <c r="AK71" s="192"/>
      <c r="AL71" s="192">
        <f>SUM(AL54:AL68)</f>
        <v>11.082283107397872</v>
      </c>
      <c r="AM71" s="192"/>
      <c r="AN71" s="192">
        <f>SUM(AN54:AN68)</f>
        <v>188.3951401529076</v>
      </c>
      <c r="AO71" s="283">
        <f>SUM(Z71:AN71)</f>
        <v>658.27523565226886</v>
      </c>
    </row>
    <row r="72" spans="1:41">
      <c r="A72" s="478"/>
      <c r="B72" s="482"/>
      <c r="C72" s="483"/>
      <c r="D72" s="486"/>
      <c r="E72" s="486"/>
      <c r="F72" s="274"/>
      <c r="X72" s="276" t="s">
        <v>391</v>
      </c>
      <c r="Z72" s="282">
        <f>Z71*Z52</f>
        <v>28.25927102293614</v>
      </c>
      <c r="AA72" s="282"/>
      <c r="AB72" s="282">
        <f>AB71*AB52</f>
        <v>50.978502294030207</v>
      </c>
      <c r="AC72" s="282"/>
      <c r="AD72" s="282">
        <f>AD71*AD52</f>
        <v>559.37574912186847</v>
      </c>
      <c r="AE72" s="282"/>
      <c r="AF72" s="282">
        <f>AF71*AF52</f>
        <v>478.25202240669978</v>
      </c>
      <c r="AG72" s="282"/>
      <c r="AH72" s="282">
        <f>AH71*AH52</f>
        <v>603.98964332113724</v>
      </c>
      <c r="AI72" s="282"/>
      <c r="AJ72" s="282">
        <f>AJ71*AJ52</f>
        <v>1483.1932741867727</v>
      </c>
      <c r="AK72" s="282"/>
      <c r="AL72" s="282">
        <f>AL71*AL52</f>
        <v>216.1045205942585</v>
      </c>
      <c r="AM72" s="282"/>
      <c r="AN72" s="282">
        <f>AN71*AN52</f>
        <v>4512.0636066621373</v>
      </c>
      <c r="AO72" s="281">
        <f>SUM(Z72:AN72)</f>
        <v>7932.2165896098413</v>
      </c>
    </row>
    <row r="73" spans="1:41" ht="18" thickBot="1">
      <c r="A73" s="478"/>
      <c r="B73" s="484"/>
      <c r="C73" s="485"/>
      <c r="D73" s="8">
        <f>U70/T70</f>
        <v>9.1848420315971584</v>
      </c>
      <c r="E73" s="251">
        <f>AO72/AO71</f>
        <v>12.050000000000002</v>
      </c>
      <c r="X73" s="277" t="s">
        <v>392</v>
      </c>
      <c r="Z73" s="282">
        <f>Z71*Z52^2</f>
        <v>4.2388906534404205</v>
      </c>
      <c r="AA73" s="282"/>
      <c r="AB73" s="282">
        <f>AB71*AB52^2</f>
        <v>234.50111055253893</v>
      </c>
      <c r="AC73" s="282"/>
      <c r="AD73" s="282">
        <f>AD71*AD52^2</f>
        <v>3691.8799442043319</v>
      </c>
      <c r="AE73" s="282"/>
      <c r="AF73" s="282">
        <f>AF71*AF52^2</f>
        <v>5093.3840386313532</v>
      </c>
      <c r="AG73" s="282"/>
      <c r="AH73" s="282">
        <f>AH71*AH52^2</f>
        <v>8123.6607026692946</v>
      </c>
      <c r="AI73" s="282"/>
      <c r="AJ73" s="282">
        <f>AJ71*AJ52^2</f>
        <v>25955.88229826852</v>
      </c>
      <c r="AK73" s="282"/>
      <c r="AL73" s="282">
        <f>AL71*AL52^2</f>
        <v>4214.0381515880408</v>
      </c>
      <c r="AM73" s="282"/>
      <c r="AN73" s="282">
        <f>AN71*AN52^2</f>
        <v>108063.92337955818</v>
      </c>
      <c r="AO73" s="281">
        <f>SUM(Z73:AN73)</f>
        <v>155381.5085161257</v>
      </c>
    </row>
    <row r="76" spans="1:41" ht="19.5" thickBot="1">
      <c r="A76" s="478" t="s">
        <v>401</v>
      </c>
      <c r="C76" s="31"/>
      <c r="D76" s="479" t="s">
        <v>351</v>
      </c>
      <c r="E76" s="479"/>
      <c r="F76" s="479"/>
      <c r="G76" s="479"/>
      <c r="H76" s="479"/>
      <c r="I76" s="479"/>
      <c r="J76" s="479"/>
      <c r="Y76" s="31"/>
      <c r="Z76" s="479" t="s">
        <v>387</v>
      </c>
      <c r="AA76" s="479"/>
      <c r="AB76" s="479"/>
      <c r="AC76" s="479"/>
      <c r="AD76" s="479"/>
      <c r="AE76" s="479"/>
      <c r="AF76" s="479"/>
    </row>
    <row r="77" spans="1:41" ht="15.75" thickBot="1">
      <c r="A77" s="478"/>
      <c r="B77" s="195"/>
      <c r="C77" s="265" t="s">
        <v>353</v>
      </c>
      <c r="D77" s="67">
        <v>0.15</v>
      </c>
      <c r="E77" s="67"/>
      <c r="F77" s="67">
        <v>4.5999999999999996</v>
      </c>
      <c r="G77" s="67"/>
      <c r="H77" s="67">
        <v>6.6</v>
      </c>
      <c r="I77" s="67"/>
      <c r="J77" s="67">
        <v>10.65</v>
      </c>
      <c r="K77" s="67"/>
      <c r="L77" s="67">
        <v>13.45</v>
      </c>
      <c r="M77" s="67"/>
      <c r="N77" s="67">
        <v>17.5</v>
      </c>
      <c r="O77" s="67"/>
      <c r="P77" s="67">
        <v>19.5</v>
      </c>
      <c r="Q77" s="67"/>
      <c r="R77" s="67">
        <v>23.95</v>
      </c>
      <c r="X77" s="195"/>
      <c r="Y77" s="265" t="s">
        <v>353</v>
      </c>
      <c r="Z77" s="67">
        <v>0.15</v>
      </c>
      <c r="AA77" s="67"/>
      <c r="AB77" s="67">
        <v>4.5999999999999996</v>
      </c>
      <c r="AC77" s="67"/>
      <c r="AD77" s="67">
        <v>6.6</v>
      </c>
      <c r="AE77" s="67"/>
      <c r="AF77" s="67">
        <v>10.65</v>
      </c>
      <c r="AG77" s="67"/>
      <c r="AH77" s="67">
        <v>13.45</v>
      </c>
      <c r="AI77" s="67"/>
      <c r="AJ77" s="67">
        <v>17.5</v>
      </c>
      <c r="AK77" s="67"/>
      <c r="AL77" s="67">
        <v>19.5</v>
      </c>
      <c r="AM77" s="67"/>
      <c r="AN77" s="67">
        <v>23.95</v>
      </c>
    </row>
    <row r="78" spans="1:41" ht="18" thickBot="1">
      <c r="A78" s="478"/>
      <c r="B78" s="265" t="s">
        <v>352</v>
      </c>
      <c r="C78" s="195"/>
      <c r="R78" s="269"/>
      <c r="T78" s="278" t="s">
        <v>395</v>
      </c>
      <c r="U78" s="279" t="s">
        <v>396</v>
      </c>
      <c r="V78" s="280" t="s">
        <v>397</v>
      </c>
      <c r="X78" s="265" t="s">
        <v>352</v>
      </c>
      <c r="Y78" s="195"/>
      <c r="AN78" s="269"/>
    </row>
    <row r="79" spans="1:41">
      <c r="A79" s="478"/>
      <c r="B79" s="252">
        <v>16.8</v>
      </c>
      <c r="D79" s="288">
        <f>'12.Rigidezze di piano'!$M$168</f>
        <v>10.582317704234116</v>
      </c>
      <c r="E79" s="192"/>
      <c r="F79" s="192"/>
      <c r="G79" s="192"/>
      <c r="H79" s="288">
        <f>'12.Rigidezze di piano'!$M$152</f>
        <v>19.109954461646979</v>
      </c>
      <c r="I79" s="192"/>
      <c r="J79" s="192"/>
      <c r="K79" s="192"/>
      <c r="L79" s="192"/>
      <c r="M79" s="192"/>
      <c r="N79" s="288">
        <f>'12.Rigidezze di piano'!$M$152</f>
        <v>19.109954461646979</v>
      </c>
      <c r="O79" s="192"/>
      <c r="P79" s="192"/>
      <c r="Q79" s="192"/>
      <c r="R79" s="289">
        <f>'12.Rigidezze di piano'!$M$168</f>
        <v>10.582317704234116</v>
      </c>
      <c r="T79" s="1">
        <f>SUM(D79:R79)</f>
        <v>59.384544331762186</v>
      </c>
      <c r="U79" s="1">
        <f>T79*B79</f>
        <v>997.66034477360472</v>
      </c>
      <c r="V79" s="1">
        <f>T79*B79^2</f>
        <v>16760.693792196558</v>
      </c>
      <c r="X79" s="252">
        <v>16.8</v>
      </c>
      <c r="Z79" s="288">
        <f>'12.Rigidezze di piano'!$AB$144</f>
        <v>25.698191341409505</v>
      </c>
      <c r="AA79" s="192"/>
      <c r="AB79" s="192"/>
      <c r="AC79" s="192"/>
      <c r="AD79" s="288">
        <f>'12.Rigidezze di piano'!$AB$176</f>
        <v>11.652752118047319</v>
      </c>
      <c r="AE79" s="192"/>
      <c r="AF79" s="192"/>
      <c r="AG79" s="192"/>
      <c r="AH79" s="192"/>
      <c r="AI79" s="192"/>
      <c r="AJ79" s="288">
        <f>'12.Rigidezze di piano'!$AB$176</f>
        <v>11.652752118047319</v>
      </c>
      <c r="AK79" s="192"/>
      <c r="AL79" s="192"/>
      <c r="AM79" s="192"/>
      <c r="AN79" s="288">
        <f>'12.Rigidezze di piano'!$AB$144</f>
        <v>25.698191341409505</v>
      </c>
    </row>
    <row r="80" spans="1:41">
      <c r="A80" s="478"/>
      <c r="B80" s="266"/>
      <c r="D80" s="192"/>
      <c r="E80" s="192"/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271"/>
      <c r="T80" s="194"/>
      <c r="U80" s="1"/>
      <c r="V80" s="1"/>
      <c r="X80" s="266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192"/>
      <c r="AK80" s="192"/>
      <c r="AL80" s="192"/>
      <c r="AM80" s="192"/>
      <c r="AN80" s="192"/>
    </row>
    <row r="81" spans="1:41">
      <c r="A81" s="478"/>
      <c r="B81" s="252">
        <v>14.55</v>
      </c>
      <c r="D81" s="192"/>
      <c r="E81" s="192"/>
      <c r="F81" s="192"/>
      <c r="G81" s="192"/>
      <c r="H81" s="288">
        <f>'12.Rigidezze di piano'!$M$168</f>
        <v>10.582317704234116</v>
      </c>
      <c r="I81" s="192"/>
      <c r="J81" s="288">
        <f>'12.Rigidezze di piano'!$M$144</f>
        <v>43.799369286934329</v>
      </c>
      <c r="K81" s="192"/>
      <c r="L81" s="288">
        <f>'12.Rigidezze di piano'!$M$144</f>
        <v>43.799369286934329</v>
      </c>
      <c r="M81" s="192"/>
      <c r="N81" s="288">
        <f>'12.Rigidezze di piano'!$M$168</f>
        <v>10.582317704234116</v>
      </c>
      <c r="O81" s="192"/>
      <c r="P81" s="192"/>
      <c r="Q81" s="192"/>
      <c r="R81" s="271"/>
      <c r="T81" s="1">
        <f>SUM(D81:R81)</f>
        <v>108.76337398233689</v>
      </c>
      <c r="U81" s="1">
        <f>T81*B81</f>
        <v>1582.5070914430019</v>
      </c>
      <c r="V81" s="1">
        <f>T81*B81^2</f>
        <v>23025.478180495676</v>
      </c>
      <c r="X81" s="252">
        <v>14.55</v>
      </c>
      <c r="Z81" s="192"/>
      <c r="AA81" s="192"/>
      <c r="AB81" s="192"/>
      <c r="AC81" s="192"/>
      <c r="AD81" s="288">
        <f>'12.Rigidezze di piano'!$AB$144</f>
        <v>25.698191341409505</v>
      </c>
      <c r="AE81" s="192"/>
      <c r="AF81" s="288">
        <f>'12.Rigidezze di piano'!$AB$160</f>
        <v>2.529342492677038</v>
      </c>
      <c r="AG81" s="192"/>
      <c r="AH81" s="288">
        <f>'12.Rigidezze di piano'!$AB$160</f>
        <v>2.529342492677038</v>
      </c>
      <c r="AI81" s="192"/>
      <c r="AJ81" s="288">
        <f>'12.Rigidezze di piano'!$AB$144</f>
        <v>25.698191341409505</v>
      </c>
      <c r="AK81" s="192"/>
      <c r="AL81" s="192"/>
      <c r="AM81" s="192"/>
      <c r="AN81" s="192"/>
    </row>
    <row r="82" spans="1:41">
      <c r="A82" s="478"/>
      <c r="B82" s="267"/>
      <c r="D82" s="192"/>
      <c r="E82" s="192"/>
      <c r="G82" s="192"/>
      <c r="O82" s="192"/>
      <c r="P82" s="192"/>
      <c r="Q82" s="192"/>
      <c r="R82" s="271"/>
      <c r="T82" s="194"/>
      <c r="U82" s="1"/>
      <c r="V82" s="1"/>
      <c r="X82" s="267"/>
      <c r="Z82" s="192"/>
      <c r="AA82" s="192"/>
      <c r="AC82" s="192"/>
      <c r="AK82" s="192"/>
      <c r="AL82" s="192"/>
      <c r="AM82" s="192"/>
      <c r="AN82" s="192"/>
    </row>
    <row r="83" spans="1:41">
      <c r="A83" s="478"/>
      <c r="B83" s="252">
        <f>B86+4.62</f>
        <v>13.55</v>
      </c>
      <c r="D83" s="288">
        <f>'12.Rigidezze di piano'!$M$168</f>
        <v>10.582317704234116</v>
      </c>
      <c r="E83" s="192"/>
      <c r="F83" s="288">
        <f>'12.Rigidezze di piano'!$M$152</f>
        <v>19.109954461646979</v>
      </c>
      <c r="I83" s="192"/>
      <c r="J83" s="192"/>
      <c r="K83" s="192"/>
      <c r="L83" s="192"/>
      <c r="M83" s="192"/>
      <c r="O83" s="192"/>
      <c r="P83" s="288">
        <f>'12.Rigidezze di piano'!$M$152</f>
        <v>19.109954461646979</v>
      </c>
      <c r="Q83" s="192"/>
      <c r="R83" s="289">
        <f>'12.Rigidezze di piano'!$M$168</f>
        <v>10.582317704234116</v>
      </c>
      <c r="T83" s="1">
        <f>SUM(D83:R83)</f>
        <v>59.384544331762186</v>
      </c>
      <c r="U83" s="1">
        <f>T83*B83</f>
        <v>804.6605756953777</v>
      </c>
      <c r="V83" s="1">
        <f>T83*B83^2</f>
        <v>10903.150800672367</v>
      </c>
      <c r="X83" s="252">
        <f>X86+4.62</f>
        <v>13.55</v>
      </c>
      <c r="Z83" s="288">
        <f>'12.Rigidezze di piano'!$AB$152</f>
        <v>37.941278510176254</v>
      </c>
      <c r="AA83" s="192"/>
      <c r="AB83" s="288">
        <f>'12.Rigidezze di piano'!$AB$160</f>
        <v>2.529342492677038</v>
      </c>
      <c r="AE83" s="192"/>
      <c r="AF83" s="192"/>
      <c r="AG83" s="192"/>
      <c r="AH83" s="192"/>
      <c r="AI83" s="192"/>
      <c r="AK83" s="192"/>
      <c r="AL83" s="288">
        <f>'12.Rigidezze di piano'!$AB$160</f>
        <v>2.529342492677038</v>
      </c>
      <c r="AM83" s="192"/>
      <c r="AN83" s="288">
        <f>'12.Rigidezze di piano'!$AB$152</f>
        <v>37.941278510176254</v>
      </c>
    </row>
    <row r="84" spans="1:41">
      <c r="A84" s="478"/>
      <c r="B84" s="429"/>
      <c r="D84" s="192"/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271"/>
      <c r="T84" s="194"/>
      <c r="U84" s="1"/>
      <c r="V84" s="1"/>
      <c r="X84" s="429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192"/>
      <c r="AK84" s="192"/>
      <c r="AL84" s="192"/>
      <c r="AM84" s="192"/>
      <c r="AN84" s="192"/>
    </row>
    <row r="85" spans="1:41">
      <c r="A85" s="478"/>
      <c r="B85" s="429"/>
      <c r="C85" s="38"/>
      <c r="D85" s="63"/>
      <c r="E85" s="192"/>
      <c r="F85" s="63"/>
      <c r="G85" s="192"/>
      <c r="H85" s="192"/>
      <c r="I85" s="192"/>
      <c r="J85" s="192"/>
      <c r="K85" s="192"/>
      <c r="L85" s="192"/>
      <c r="M85" s="192"/>
      <c r="N85" s="192"/>
      <c r="O85" s="192"/>
      <c r="P85" s="63"/>
      <c r="Q85" s="192"/>
      <c r="R85" s="271"/>
      <c r="T85" s="194"/>
      <c r="U85" s="1"/>
      <c r="V85" s="1"/>
      <c r="X85" s="429"/>
      <c r="Y85" s="38"/>
      <c r="Z85" s="63"/>
      <c r="AA85" s="192"/>
      <c r="AB85" s="63"/>
      <c r="AC85" s="192"/>
      <c r="AD85" s="192"/>
      <c r="AE85" s="192"/>
      <c r="AF85" s="192"/>
      <c r="AG85" s="192"/>
      <c r="AH85" s="192"/>
      <c r="AI85" s="192"/>
      <c r="AJ85" s="192"/>
      <c r="AK85" s="192"/>
      <c r="AL85" s="63"/>
      <c r="AM85" s="192"/>
      <c r="AN85" s="63"/>
    </row>
    <row r="86" spans="1:41">
      <c r="A86" s="478"/>
      <c r="B86" s="252">
        <f>B89+3.78</f>
        <v>8.93</v>
      </c>
      <c r="C86" s="38"/>
      <c r="D86" s="288">
        <f>'12.Rigidezze di piano'!$M$168</f>
        <v>10.582317704234116</v>
      </c>
      <c r="E86" s="192"/>
      <c r="F86" s="288">
        <f>'12.Rigidezze di piano'!$M$160</f>
        <v>32.72902484180748</v>
      </c>
      <c r="G86" s="192"/>
      <c r="H86" s="192"/>
      <c r="I86" s="192"/>
      <c r="J86" s="288">
        <f>'12.Rigidezze di piano'!$M$168</f>
        <v>10.582317704234116</v>
      </c>
      <c r="K86" s="192"/>
      <c r="L86" s="288">
        <f>'12.Rigidezze di piano'!$M$168</f>
        <v>10.582317704234116</v>
      </c>
      <c r="M86" s="192"/>
      <c r="N86" s="192"/>
      <c r="O86" s="192"/>
      <c r="P86" s="288">
        <f>'12.Rigidezze di piano'!$M$160</f>
        <v>32.72902484180748</v>
      </c>
      <c r="Q86" s="192"/>
      <c r="R86" s="289">
        <f>'12.Rigidezze di piano'!$M$168</f>
        <v>10.582317704234116</v>
      </c>
      <c r="T86" s="1">
        <f>SUM(D86:R86)</f>
        <v>107.78732050055142</v>
      </c>
      <c r="U86" s="1">
        <f>T86*B86</f>
        <v>962.54077206992417</v>
      </c>
      <c r="V86" s="1">
        <f>T86*B86^2</f>
        <v>8595.4890945844236</v>
      </c>
      <c r="X86" s="252">
        <f>X89+3.78</f>
        <v>8.93</v>
      </c>
      <c r="Y86" s="38"/>
      <c r="Z86" s="288">
        <f>'12.Rigidezze di piano'!$AB$152</f>
        <v>37.941278510176254</v>
      </c>
      <c r="AA86" s="192"/>
      <c r="AB86" s="288">
        <f>'12.Rigidezze di piano'!$AB$168</f>
        <v>6.0235981220437953</v>
      </c>
      <c r="AC86" s="192"/>
      <c r="AD86" s="192"/>
      <c r="AE86" s="192"/>
      <c r="AF86" s="288">
        <f>'12.Rigidezze di piano'!$AB$144</f>
        <v>25.698191341409505</v>
      </c>
      <c r="AG86" s="192"/>
      <c r="AH86" s="288">
        <f>'12.Rigidezze di piano'!$AB$144</f>
        <v>25.698191341409505</v>
      </c>
      <c r="AI86" s="192"/>
      <c r="AJ86" s="192"/>
      <c r="AK86" s="192"/>
      <c r="AL86" s="288">
        <f>'12.Rigidezze di piano'!$AB$168</f>
        <v>6.0235981220437953</v>
      </c>
      <c r="AM86" s="192"/>
      <c r="AN86" s="288">
        <f>'12.Rigidezze di piano'!$AB$152</f>
        <v>37.941278510176254</v>
      </c>
    </row>
    <row r="87" spans="1:41">
      <c r="A87" s="478"/>
      <c r="B87" s="429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271"/>
      <c r="T87" s="194"/>
      <c r="U87" s="1"/>
      <c r="V87" s="1"/>
      <c r="X87" s="429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192"/>
      <c r="AK87" s="192"/>
      <c r="AL87" s="192"/>
      <c r="AM87" s="192"/>
      <c r="AN87" s="192"/>
    </row>
    <row r="88" spans="1:41">
      <c r="A88" s="478"/>
      <c r="B88" s="429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271"/>
      <c r="T88" s="194"/>
      <c r="U88" s="1"/>
      <c r="V88" s="1"/>
      <c r="X88" s="429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192"/>
      <c r="AK88" s="192"/>
      <c r="AL88" s="192"/>
      <c r="AM88" s="192"/>
      <c r="AN88" s="192"/>
    </row>
    <row r="89" spans="1:41">
      <c r="A89" s="478"/>
      <c r="B89" s="252">
        <v>5.15</v>
      </c>
      <c r="D89" s="288">
        <f>'12.Rigidezze di piano'!$M$168</f>
        <v>10.582317704234116</v>
      </c>
      <c r="E89" s="192"/>
      <c r="F89" s="288">
        <f>'12.Rigidezze di piano'!$M$152</f>
        <v>19.109954461646979</v>
      </c>
      <c r="G89" s="192"/>
      <c r="H89" s="192"/>
      <c r="I89" s="192"/>
      <c r="J89" s="192"/>
      <c r="K89" s="192"/>
      <c r="L89" s="192"/>
      <c r="M89" s="192"/>
      <c r="N89" s="192"/>
      <c r="O89" s="192"/>
      <c r="P89" s="288">
        <f>'12.Rigidezze di piano'!$M$152</f>
        <v>19.109954461646979</v>
      </c>
      <c r="Q89" s="192"/>
      <c r="R89" s="289">
        <f>'12.Rigidezze di piano'!$M$168</f>
        <v>10.582317704234116</v>
      </c>
      <c r="T89" s="1">
        <f>SUM(D89:R89)</f>
        <v>59.384544331762186</v>
      </c>
      <c r="U89" s="1">
        <f>T89*B89</f>
        <v>305.83040330857528</v>
      </c>
      <c r="V89" s="1">
        <f>T89*B89^2</f>
        <v>1575.0265770391629</v>
      </c>
      <c r="X89" s="252">
        <v>5.15</v>
      </c>
      <c r="Z89" s="288">
        <f>'12.Rigidezze di piano'!$AB$152</f>
        <v>37.941278510176254</v>
      </c>
      <c r="AA89" s="192"/>
      <c r="AB89" s="288">
        <f>'12.Rigidezze di piano'!$AB$160</f>
        <v>2.529342492677038</v>
      </c>
      <c r="AC89" s="192"/>
      <c r="AD89" s="192"/>
      <c r="AE89" s="192"/>
      <c r="AF89" s="192"/>
      <c r="AG89" s="192"/>
      <c r="AH89" s="192"/>
      <c r="AI89" s="192"/>
      <c r="AJ89" s="192"/>
      <c r="AK89" s="192"/>
      <c r="AL89" s="288">
        <f>'12.Rigidezze di piano'!$AB$160</f>
        <v>2.529342492677038</v>
      </c>
      <c r="AM89" s="192"/>
      <c r="AN89" s="288">
        <f>'12.Rigidezze di piano'!$AB$152</f>
        <v>37.941278510176254</v>
      </c>
    </row>
    <row r="90" spans="1:41">
      <c r="A90" s="478"/>
      <c r="B90" s="266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271"/>
      <c r="T90" s="194"/>
      <c r="U90" s="1"/>
      <c r="V90" s="1"/>
      <c r="X90" s="266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192"/>
      <c r="AK90" s="192"/>
      <c r="AL90" s="192"/>
      <c r="AM90" s="192"/>
      <c r="AN90" s="192"/>
    </row>
    <row r="91" spans="1:41">
      <c r="A91" s="478"/>
      <c r="B91" s="252">
        <v>4.55</v>
      </c>
      <c r="D91" s="192"/>
      <c r="E91" s="192"/>
      <c r="G91" s="192"/>
      <c r="H91" s="288">
        <f>'12.Rigidezze di piano'!$M$168</f>
        <v>10.582317704234116</v>
      </c>
      <c r="I91" s="192"/>
      <c r="J91" s="288">
        <f>'12.Rigidezze di piano'!$M$144</f>
        <v>43.799369286934329</v>
      </c>
      <c r="K91" s="192"/>
      <c r="L91" s="288">
        <f>'12.Rigidezze di piano'!$M$144</f>
        <v>43.799369286934329</v>
      </c>
      <c r="M91" s="192"/>
      <c r="N91" s="288">
        <f>'12.Rigidezze di piano'!$M$168</f>
        <v>10.582317704234116</v>
      </c>
      <c r="O91" s="192"/>
      <c r="P91" s="192"/>
      <c r="Q91" s="192"/>
      <c r="R91" s="271"/>
      <c r="T91" s="1">
        <f>SUM(D91:R91)</f>
        <v>108.76337398233689</v>
      </c>
      <c r="U91" s="1">
        <f>T91*B91</f>
        <v>494.87335161963284</v>
      </c>
      <c r="V91" s="1">
        <f>T91*B91^2</f>
        <v>2251.6737498693292</v>
      </c>
      <c r="X91" s="252">
        <v>4.55</v>
      </c>
      <c r="Z91" s="192"/>
      <c r="AA91" s="192"/>
      <c r="AC91" s="192"/>
      <c r="AD91" s="288">
        <f>'12.Rigidezze di piano'!$AB$144</f>
        <v>25.698191341409505</v>
      </c>
      <c r="AE91" s="192"/>
      <c r="AF91" s="288">
        <f>'12.Rigidezze di piano'!$AB$176</f>
        <v>11.652752118047319</v>
      </c>
      <c r="AG91" s="192"/>
      <c r="AH91" s="288">
        <f>'12.Rigidezze di piano'!$AB$176</f>
        <v>11.652752118047319</v>
      </c>
      <c r="AI91" s="192"/>
      <c r="AJ91" s="288">
        <f>'12.Rigidezze di piano'!$AB$144</f>
        <v>25.698191341409505</v>
      </c>
      <c r="AK91" s="192"/>
      <c r="AL91" s="192"/>
      <c r="AM91" s="192"/>
      <c r="AN91" s="192"/>
    </row>
    <row r="92" spans="1:41">
      <c r="A92" s="478"/>
      <c r="B92" s="267"/>
      <c r="D92" s="192"/>
      <c r="E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271"/>
      <c r="T92" s="194"/>
      <c r="U92" s="1"/>
      <c r="V92" s="1"/>
      <c r="X92" s="267"/>
      <c r="Z92" s="192"/>
      <c r="AA92" s="192"/>
      <c r="AC92" s="192"/>
      <c r="AD92" s="192"/>
      <c r="AE92" s="192"/>
      <c r="AF92" s="192"/>
      <c r="AG92" s="192"/>
      <c r="AH92" s="192"/>
      <c r="AI92" s="192"/>
      <c r="AJ92" s="192"/>
      <c r="AK92" s="192"/>
      <c r="AL92" s="192"/>
      <c r="AM92" s="192"/>
      <c r="AN92" s="192"/>
    </row>
    <row r="93" spans="1:41">
      <c r="A93" s="478"/>
      <c r="B93" s="67">
        <v>0.4</v>
      </c>
      <c r="C93" s="38"/>
      <c r="D93" s="288">
        <f>'12.Rigidezze di piano'!$M$168</f>
        <v>10.582317704234116</v>
      </c>
      <c r="E93" s="63"/>
      <c r="F93" s="63"/>
      <c r="G93" s="63"/>
      <c r="H93" s="288">
        <f>'12.Rigidezze di piano'!$M$152</f>
        <v>19.109954461646979</v>
      </c>
      <c r="I93" s="63"/>
      <c r="J93" s="63"/>
      <c r="K93" s="63"/>
      <c r="L93" s="63"/>
      <c r="M93" s="63"/>
      <c r="N93" s="288">
        <f>'12.Rigidezze di piano'!$M$152</f>
        <v>19.109954461646979</v>
      </c>
      <c r="O93" s="63"/>
      <c r="P93" s="63"/>
      <c r="Q93" s="63"/>
      <c r="R93" s="289">
        <f>'12.Rigidezze di piano'!$M$168</f>
        <v>10.582317704234116</v>
      </c>
      <c r="T93" s="1">
        <f>SUM(D93:R93)</f>
        <v>59.384544331762186</v>
      </c>
      <c r="U93" s="1">
        <f>T93*B93</f>
        <v>23.753817732704874</v>
      </c>
      <c r="V93" s="1">
        <f>T93*B93^2</f>
        <v>9.5015270930819522</v>
      </c>
      <c r="X93" s="67">
        <v>0.4</v>
      </c>
      <c r="Y93" s="38"/>
      <c r="Z93" s="288">
        <f>'12.Rigidezze di piano'!$AB$144</f>
        <v>25.698191341409505</v>
      </c>
      <c r="AA93" s="63"/>
      <c r="AB93" s="63"/>
      <c r="AC93" s="63"/>
      <c r="AD93" s="288">
        <f>'12.Rigidezze di piano'!$AB$176</f>
        <v>11.652752118047319</v>
      </c>
      <c r="AE93" s="63"/>
      <c r="AF93" s="63"/>
      <c r="AG93" s="63"/>
      <c r="AH93" s="63"/>
      <c r="AI93" s="63"/>
      <c r="AJ93" s="288">
        <f>'12.Rigidezze di piano'!$AB$176</f>
        <v>11.652752118047319</v>
      </c>
      <c r="AK93" s="63"/>
      <c r="AL93" s="63"/>
      <c r="AM93" s="63"/>
      <c r="AN93" s="288">
        <f>'12.Rigidezze di piano'!$AB$144</f>
        <v>25.698191341409505</v>
      </c>
    </row>
    <row r="94" spans="1:41">
      <c r="A94" s="478"/>
      <c r="C94" s="60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4"/>
      <c r="T94" s="194"/>
      <c r="Y94" s="60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4"/>
    </row>
    <row r="95" spans="1:41" ht="15.75" thickBot="1">
      <c r="A95" s="478"/>
      <c r="T95" s="273">
        <f>SUM(T79:T93)</f>
        <v>562.85224579227383</v>
      </c>
      <c r="U95" s="281">
        <f>SUM(U79:U93)</f>
        <v>5171.8263566428213</v>
      </c>
      <c r="V95" s="281">
        <f>SUM(V79:V93)</f>
        <v>63121.013721950592</v>
      </c>
      <c r="AO95" s="272" t="s">
        <v>21</v>
      </c>
    </row>
    <row r="96" spans="1:41">
      <c r="A96" s="478"/>
      <c r="B96" s="480" t="s">
        <v>388</v>
      </c>
      <c r="C96" s="481"/>
      <c r="D96" s="486" t="s">
        <v>389</v>
      </c>
      <c r="E96" s="486" t="s">
        <v>390</v>
      </c>
      <c r="T96" s="194"/>
      <c r="X96" s="275" t="s">
        <v>394</v>
      </c>
      <c r="Z96" s="192">
        <f>SUM(Z79:Z93)</f>
        <v>165.22021821334778</v>
      </c>
      <c r="AA96" s="192"/>
      <c r="AB96" s="192">
        <f>SUM(AB79:AB93)</f>
        <v>11.082283107397872</v>
      </c>
      <c r="AC96" s="192"/>
      <c r="AD96" s="192">
        <f>SUM(AD79:AD93)</f>
        <v>74.701886918913644</v>
      </c>
      <c r="AE96" s="192"/>
      <c r="AF96" s="192">
        <f>SUM(AF79:AF93)</f>
        <v>39.88028595213386</v>
      </c>
      <c r="AG96" s="192"/>
      <c r="AH96" s="192">
        <f>SUM(AH79:AH93)</f>
        <v>39.88028595213386</v>
      </c>
      <c r="AI96" s="192"/>
      <c r="AJ96" s="192">
        <f>SUM(AJ79:AJ93)</f>
        <v>74.701886918913644</v>
      </c>
      <c r="AK96" s="192"/>
      <c r="AL96" s="192">
        <f>SUM(AL79:AL93)</f>
        <v>11.082283107397872</v>
      </c>
      <c r="AM96" s="192"/>
      <c r="AN96" s="192">
        <f>SUM(AN79:AN93)</f>
        <v>165.22021821334778</v>
      </c>
      <c r="AO96" s="283">
        <f>SUM(Z96:AN96)</f>
        <v>581.76934838358636</v>
      </c>
    </row>
    <row r="97" spans="1:41">
      <c r="A97" s="478"/>
      <c r="B97" s="482"/>
      <c r="C97" s="483"/>
      <c r="D97" s="486"/>
      <c r="E97" s="486"/>
      <c r="F97" s="274"/>
      <c r="X97" s="276" t="s">
        <v>391</v>
      </c>
      <c r="Z97" s="282">
        <f>Z96*Z77</f>
        <v>24.783032732002166</v>
      </c>
      <c r="AA97" s="282"/>
      <c r="AB97" s="282">
        <f>AB96*AB77</f>
        <v>50.978502294030207</v>
      </c>
      <c r="AC97" s="282"/>
      <c r="AD97" s="282">
        <f>AD96*AD77</f>
        <v>493.03245366483003</v>
      </c>
      <c r="AE97" s="282"/>
      <c r="AF97" s="282">
        <f>AF96*AF77</f>
        <v>424.7250453902256</v>
      </c>
      <c r="AG97" s="282"/>
      <c r="AH97" s="282">
        <f>AH96*AH77</f>
        <v>536.38984605620044</v>
      </c>
      <c r="AI97" s="282"/>
      <c r="AJ97" s="282">
        <f>AJ96*AJ77</f>
        <v>1307.2830210809889</v>
      </c>
      <c r="AK97" s="282"/>
      <c r="AL97" s="282">
        <f>AL96*AL77</f>
        <v>216.1045205942585</v>
      </c>
      <c r="AM97" s="282"/>
      <c r="AN97" s="282">
        <f>AN96*AN77</f>
        <v>3957.024226209679</v>
      </c>
      <c r="AO97" s="281">
        <f>SUM(Z97:AN97)</f>
        <v>7010.3206480222143</v>
      </c>
    </row>
    <row r="98" spans="1:41" ht="18" thickBot="1">
      <c r="A98" s="478"/>
      <c r="B98" s="484"/>
      <c r="C98" s="485"/>
      <c r="D98" s="8">
        <f>U95/T95</f>
        <v>9.1886039281284759</v>
      </c>
      <c r="E98" s="251">
        <f>AO97/AO96</f>
        <v>12.049999999999997</v>
      </c>
      <c r="X98" s="277" t="s">
        <v>392</v>
      </c>
      <c r="Z98" s="282">
        <f>Z96*Z77^2</f>
        <v>3.7174549098003249</v>
      </c>
      <c r="AA98" s="282"/>
      <c r="AB98" s="282">
        <f>AB96*AB77^2</f>
        <v>234.50111055253893</v>
      </c>
      <c r="AC98" s="282"/>
      <c r="AD98" s="282">
        <f>AD96*AD77^2</f>
        <v>3254.0141941878778</v>
      </c>
      <c r="AE98" s="282"/>
      <c r="AF98" s="282">
        <f>AF96*AF77^2</f>
        <v>4523.3217334059036</v>
      </c>
      <c r="AG98" s="282"/>
      <c r="AH98" s="282">
        <f>AH96*AH77^2</f>
        <v>7214.4434294558951</v>
      </c>
      <c r="AI98" s="282"/>
      <c r="AJ98" s="282">
        <f>AJ96*AJ77^2</f>
        <v>22877.452868917302</v>
      </c>
      <c r="AK98" s="282"/>
      <c r="AL98" s="282">
        <f>AL96*AL77^2</f>
        <v>4214.0381515880408</v>
      </c>
      <c r="AM98" s="282"/>
      <c r="AN98" s="282">
        <f>AN96*AN77^2</f>
        <v>94770.730217721808</v>
      </c>
      <c r="AO98" s="281">
        <f>SUM(Z98:AN98)</f>
        <v>137092.21916073916</v>
      </c>
    </row>
    <row r="101" spans="1:41" ht="19.5" thickBot="1">
      <c r="A101" s="478" t="s">
        <v>402</v>
      </c>
      <c r="C101" s="31"/>
      <c r="D101" s="479" t="s">
        <v>351</v>
      </c>
      <c r="E101" s="479"/>
      <c r="F101" s="479"/>
      <c r="G101" s="479"/>
      <c r="H101" s="479"/>
      <c r="I101" s="479"/>
      <c r="J101" s="479"/>
      <c r="Y101" s="31"/>
      <c r="Z101" s="479" t="s">
        <v>387</v>
      </c>
      <c r="AA101" s="479"/>
      <c r="AB101" s="479"/>
      <c r="AC101" s="479"/>
      <c r="AD101" s="479"/>
      <c r="AE101" s="479"/>
      <c r="AF101" s="479"/>
    </row>
    <row r="102" spans="1:41" ht="15.75" thickBot="1">
      <c r="A102" s="478"/>
      <c r="B102" s="195"/>
      <c r="C102" s="265" t="s">
        <v>353</v>
      </c>
      <c r="D102" s="67">
        <v>0.15</v>
      </c>
      <c r="E102" s="67"/>
      <c r="F102" s="67">
        <v>4.5999999999999996</v>
      </c>
      <c r="G102" s="67"/>
      <c r="H102" s="67">
        <v>6.6</v>
      </c>
      <c r="I102" s="67"/>
      <c r="J102" s="67">
        <v>10.65</v>
      </c>
      <c r="K102" s="67"/>
      <c r="L102" s="67">
        <v>13.45</v>
      </c>
      <c r="M102" s="67"/>
      <c r="N102" s="67">
        <v>17.5</v>
      </c>
      <c r="O102" s="67"/>
      <c r="P102" s="67">
        <v>19.5</v>
      </c>
      <c r="Q102" s="67"/>
      <c r="R102" s="67">
        <v>23.95</v>
      </c>
      <c r="X102" s="195"/>
      <c r="Y102" s="265" t="s">
        <v>353</v>
      </c>
      <c r="Z102" s="67">
        <v>0.15</v>
      </c>
      <c r="AA102" s="67"/>
      <c r="AB102" s="67">
        <v>4.5999999999999996</v>
      </c>
      <c r="AC102" s="67"/>
      <c r="AD102" s="67">
        <v>6.6</v>
      </c>
      <c r="AE102" s="67"/>
      <c r="AF102" s="67">
        <v>10.65</v>
      </c>
      <c r="AG102" s="67"/>
      <c r="AH102" s="67">
        <v>13.45</v>
      </c>
      <c r="AI102" s="67"/>
      <c r="AJ102" s="67">
        <v>17.5</v>
      </c>
      <c r="AK102" s="67"/>
      <c r="AL102" s="67">
        <v>19.5</v>
      </c>
      <c r="AM102" s="67"/>
      <c r="AN102" s="67">
        <v>23.95</v>
      </c>
    </row>
    <row r="103" spans="1:41" ht="18" thickBot="1">
      <c r="A103" s="478"/>
      <c r="B103" s="265" t="s">
        <v>352</v>
      </c>
      <c r="C103" s="195"/>
      <c r="R103" s="269"/>
      <c r="T103" s="278" t="s">
        <v>395</v>
      </c>
      <c r="U103" s="279" t="s">
        <v>396</v>
      </c>
      <c r="V103" s="280" t="s">
        <v>397</v>
      </c>
      <c r="X103" s="265" t="s">
        <v>352</v>
      </c>
      <c r="Y103" s="195"/>
      <c r="AN103" s="269"/>
    </row>
    <row r="104" spans="1:41">
      <c r="A104" s="478"/>
      <c r="B104" s="263">
        <v>16.8</v>
      </c>
      <c r="D104" s="290">
        <f>'12.Rigidezze di piano'!$M$214</f>
        <v>10.582317704234116</v>
      </c>
      <c r="E104" s="192"/>
      <c r="F104" s="192"/>
      <c r="G104" s="192"/>
      <c r="H104" s="290">
        <f>'12.Rigidezze di piano'!$M$198</f>
        <v>19.109954461646979</v>
      </c>
      <c r="I104" s="192"/>
      <c r="J104" s="192"/>
      <c r="K104" s="192"/>
      <c r="L104" s="192"/>
      <c r="M104" s="192"/>
      <c r="N104" s="290">
        <f>'12.Rigidezze di piano'!$M$198</f>
        <v>19.109954461646979</v>
      </c>
      <c r="O104" s="192"/>
      <c r="P104" s="192"/>
      <c r="Q104" s="192"/>
      <c r="R104" s="290">
        <f>'12.Rigidezze di piano'!$M$214</f>
        <v>10.582317704234116</v>
      </c>
      <c r="T104" s="1">
        <f>SUM(D104:R104)</f>
        <v>59.384544331762186</v>
      </c>
      <c r="U104" s="1">
        <f>T104*B104</f>
        <v>997.66034477360472</v>
      </c>
      <c r="V104" s="1">
        <f>T104*B104^2</f>
        <v>16760.693792196558</v>
      </c>
      <c r="X104" s="263">
        <v>16.8</v>
      </c>
      <c r="Z104" s="290">
        <f>'12.Rigidezze di piano'!$AB$190</f>
        <v>25.698191341409505</v>
      </c>
      <c r="AA104" s="192"/>
      <c r="AB104" s="192"/>
      <c r="AC104" s="192"/>
      <c r="AD104" s="290">
        <f>'12.Rigidezze di piano'!$AB$222</f>
        <v>11.652752118047319</v>
      </c>
      <c r="AE104" s="192"/>
      <c r="AF104" s="192"/>
      <c r="AG104" s="192"/>
      <c r="AH104" s="192"/>
      <c r="AI104" s="192"/>
      <c r="AJ104" s="290">
        <f>'12.Rigidezze di piano'!$AB$222</f>
        <v>11.652752118047319</v>
      </c>
      <c r="AK104" s="192"/>
      <c r="AL104" s="192"/>
      <c r="AM104" s="192"/>
      <c r="AN104" s="290">
        <f>'12.Rigidezze di piano'!$AB$190</f>
        <v>25.698191341409505</v>
      </c>
    </row>
    <row r="105" spans="1:41">
      <c r="A105" s="478"/>
      <c r="B105" s="266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271"/>
      <c r="T105" s="194"/>
      <c r="U105" s="1"/>
      <c r="V105" s="1"/>
      <c r="X105" s="266"/>
      <c r="Z105" s="192"/>
      <c r="AA105" s="192"/>
      <c r="AB105" s="192"/>
      <c r="AC105" s="192"/>
      <c r="AD105" s="192"/>
      <c r="AE105" s="192"/>
      <c r="AF105" s="192"/>
      <c r="AG105" s="192"/>
      <c r="AH105" s="192"/>
      <c r="AI105" s="192"/>
      <c r="AJ105" s="192"/>
      <c r="AK105" s="192"/>
      <c r="AL105" s="192"/>
      <c r="AM105" s="192"/>
      <c r="AN105" s="192"/>
    </row>
    <row r="106" spans="1:41">
      <c r="A106" s="478"/>
      <c r="B106" s="263">
        <v>14.55</v>
      </c>
      <c r="D106" s="192"/>
      <c r="E106" s="192"/>
      <c r="F106" s="192"/>
      <c r="G106" s="192"/>
      <c r="H106" s="290">
        <f>'12.Rigidezze di piano'!$M$214</f>
        <v>10.582317704234116</v>
      </c>
      <c r="I106" s="192"/>
      <c r="J106" s="290">
        <f>'12.Rigidezze di piano'!$M$190</f>
        <v>43.799369286934329</v>
      </c>
      <c r="K106" s="192"/>
      <c r="L106" s="290">
        <f>'12.Rigidezze di piano'!$M$190</f>
        <v>43.799369286934329</v>
      </c>
      <c r="M106" s="192"/>
      <c r="N106" s="290">
        <f>'12.Rigidezze di piano'!$M$214</f>
        <v>10.582317704234116</v>
      </c>
      <c r="O106" s="192"/>
      <c r="P106" s="192"/>
      <c r="Q106" s="192"/>
      <c r="R106" s="271"/>
      <c r="T106" s="1">
        <f>SUM(D106:R106)</f>
        <v>108.76337398233689</v>
      </c>
      <c r="U106" s="1">
        <f>T106*B106</f>
        <v>1582.5070914430019</v>
      </c>
      <c r="V106" s="1">
        <f>T106*B106^2</f>
        <v>23025.478180495676</v>
      </c>
      <c r="X106" s="263">
        <v>14.55</v>
      </c>
      <c r="Z106" s="192"/>
      <c r="AA106" s="192"/>
      <c r="AB106" s="192"/>
      <c r="AC106" s="192"/>
      <c r="AD106" s="290">
        <f>'12.Rigidezze di piano'!$AB$190</f>
        <v>25.698191341409505</v>
      </c>
      <c r="AE106" s="192"/>
      <c r="AF106" s="290">
        <f>'12.Rigidezze di piano'!$AB$206</f>
        <v>2.529342492677038</v>
      </c>
      <c r="AG106" s="192"/>
      <c r="AH106" s="290">
        <f>'12.Rigidezze di piano'!$AB$206</f>
        <v>2.529342492677038</v>
      </c>
      <c r="AI106" s="192"/>
      <c r="AJ106" s="290">
        <f>'12.Rigidezze di piano'!$AB$190</f>
        <v>25.698191341409505</v>
      </c>
      <c r="AK106" s="192"/>
      <c r="AL106" s="192"/>
      <c r="AM106" s="192"/>
      <c r="AN106" s="192"/>
    </row>
    <row r="107" spans="1:41">
      <c r="A107" s="478"/>
      <c r="B107" s="267"/>
      <c r="D107" s="192"/>
      <c r="E107" s="192"/>
      <c r="G107" s="192"/>
      <c r="O107" s="192"/>
      <c r="P107" s="192"/>
      <c r="Q107" s="192"/>
      <c r="R107" s="271"/>
      <c r="T107" s="194"/>
      <c r="U107" s="1"/>
      <c r="V107" s="1"/>
      <c r="X107" s="267"/>
      <c r="Z107" s="192"/>
      <c r="AA107" s="192"/>
      <c r="AC107" s="192"/>
      <c r="AK107" s="192"/>
      <c r="AL107" s="192"/>
      <c r="AM107" s="192"/>
      <c r="AN107" s="192"/>
    </row>
    <row r="108" spans="1:41">
      <c r="A108" s="478"/>
      <c r="B108" s="263">
        <f>B111+4.62</f>
        <v>13.55</v>
      </c>
      <c r="D108" s="290">
        <f>'12.Rigidezze di piano'!$M$214</f>
        <v>10.582317704234116</v>
      </c>
      <c r="E108" s="192"/>
      <c r="F108" s="290">
        <f>'12.Rigidezze di piano'!$M$198</f>
        <v>19.109954461646979</v>
      </c>
      <c r="I108" s="192"/>
      <c r="J108" s="192"/>
      <c r="K108" s="192"/>
      <c r="L108" s="192"/>
      <c r="M108" s="192"/>
      <c r="O108" s="192"/>
      <c r="P108" s="290">
        <f>'12.Rigidezze di piano'!$M$198</f>
        <v>19.109954461646979</v>
      </c>
      <c r="Q108" s="192"/>
      <c r="R108" s="290">
        <f>'12.Rigidezze di piano'!$M$214</f>
        <v>10.582317704234116</v>
      </c>
      <c r="T108" s="1">
        <f>SUM(D108:R108)</f>
        <v>59.384544331762186</v>
      </c>
      <c r="U108" s="1">
        <f>T108*B108</f>
        <v>804.6605756953777</v>
      </c>
      <c r="V108" s="1">
        <f>T108*B108^2</f>
        <v>10903.150800672367</v>
      </c>
      <c r="X108" s="263">
        <f>X111+4.62</f>
        <v>13.55</v>
      </c>
      <c r="Z108" s="290">
        <f>'12.Rigidezze di piano'!$AB$198</f>
        <v>37.941278510176254</v>
      </c>
      <c r="AA108" s="192"/>
      <c r="AB108" s="290">
        <f>'12.Rigidezze di piano'!$AB$206</f>
        <v>2.529342492677038</v>
      </c>
      <c r="AE108" s="192"/>
      <c r="AF108" s="192"/>
      <c r="AG108" s="192"/>
      <c r="AH108" s="192"/>
      <c r="AI108" s="192"/>
      <c r="AK108" s="192"/>
      <c r="AL108" s="290">
        <f>'12.Rigidezze di piano'!$AB$206</f>
        <v>2.529342492677038</v>
      </c>
      <c r="AM108" s="192"/>
      <c r="AN108" s="290">
        <f>'12.Rigidezze di piano'!$AB$198</f>
        <v>37.941278510176254</v>
      </c>
    </row>
    <row r="109" spans="1:41">
      <c r="A109" s="478"/>
      <c r="B109" s="429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271"/>
      <c r="T109" s="194"/>
      <c r="U109" s="1"/>
      <c r="V109" s="1"/>
      <c r="X109" s="429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192"/>
      <c r="AK109" s="192"/>
      <c r="AL109" s="192"/>
      <c r="AM109" s="192"/>
      <c r="AN109" s="192"/>
    </row>
    <row r="110" spans="1:41">
      <c r="A110" s="478"/>
      <c r="B110" s="429"/>
      <c r="C110" s="38"/>
      <c r="D110" s="63"/>
      <c r="E110" s="192"/>
      <c r="F110" s="63"/>
      <c r="G110" s="192"/>
      <c r="H110" s="192"/>
      <c r="I110" s="192"/>
      <c r="J110" s="192"/>
      <c r="K110" s="192"/>
      <c r="L110" s="192"/>
      <c r="M110" s="192"/>
      <c r="N110" s="192"/>
      <c r="O110" s="192"/>
      <c r="P110" s="63"/>
      <c r="Q110" s="192"/>
      <c r="R110" s="271"/>
      <c r="T110" s="194"/>
      <c r="U110" s="1"/>
      <c r="V110" s="1"/>
      <c r="X110" s="429"/>
      <c r="Y110" s="38"/>
      <c r="Z110" s="63"/>
      <c r="AA110" s="192"/>
      <c r="AB110" s="63"/>
      <c r="AC110" s="192"/>
      <c r="AD110" s="192"/>
      <c r="AE110" s="192"/>
      <c r="AF110" s="192"/>
      <c r="AG110" s="192"/>
      <c r="AH110" s="192"/>
      <c r="AI110" s="192"/>
      <c r="AJ110" s="192"/>
      <c r="AK110" s="192"/>
      <c r="AL110" s="63"/>
      <c r="AM110" s="192"/>
      <c r="AN110" s="63"/>
    </row>
    <row r="111" spans="1:41">
      <c r="A111" s="478"/>
      <c r="B111" s="263">
        <f>B114+3.78</f>
        <v>8.93</v>
      </c>
      <c r="C111" s="38"/>
      <c r="D111" s="290">
        <f>'12.Rigidezze di piano'!$M$214</f>
        <v>10.582317704234116</v>
      </c>
      <c r="E111" s="192"/>
      <c r="F111" s="290">
        <f>'12.Rigidezze di piano'!$M$206</f>
        <v>32.72902484180748</v>
      </c>
      <c r="G111" s="192"/>
      <c r="H111" s="192"/>
      <c r="I111" s="192"/>
      <c r="J111" s="290">
        <f>'12.Rigidezze di piano'!$M$214</f>
        <v>10.582317704234116</v>
      </c>
      <c r="K111" s="192"/>
      <c r="L111" s="290">
        <f>'12.Rigidezze di piano'!$M$214</f>
        <v>10.582317704234116</v>
      </c>
      <c r="M111" s="192"/>
      <c r="N111" s="192"/>
      <c r="O111" s="192"/>
      <c r="P111" s="290">
        <f>'12.Rigidezze di piano'!$M$206</f>
        <v>32.72902484180748</v>
      </c>
      <c r="Q111" s="192"/>
      <c r="R111" s="290">
        <f>'12.Rigidezze di piano'!$M$214</f>
        <v>10.582317704234116</v>
      </c>
      <c r="T111" s="1">
        <f>SUM(D111:R111)</f>
        <v>107.78732050055142</v>
      </c>
      <c r="U111" s="1">
        <f>T111*B111</f>
        <v>962.54077206992417</v>
      </c>
      <c r="V111" s="1">
        <f>T111*B111^2</f>
        <v>8595.4890945844236</v>
      </c>
      <c r="X111" s="263">
        <f>X114+3.78</f>
        <v>8.93</v>
      </c>
      <c r="Y111" s="38"/>
      <c r="Z111" s="290">
        <f>'12.Rigidezze di piano'!$AB$198</f>
        <v>37.941278510176254</v>
      </c>
      <c r="AA111" s="192"/>
      <c r="AB111" s="290">
        <f>'12.Rigidezze di piano'!$AB$214</f>
        <v>6.0235981220437953</v>
      </c>
      <c r="AC111" s="192"/>
      <c r="AD111" s="192"/>
      <c r="AE111" s="192"/>
      <c r="AF111" s="290">
        <f>'12.Rigidezze di piano'!$AB$190</f>
        <v>25.698191341409505</v>
      </c>
      <c r="AG111" s="192"/>
      <c r="AH111" s="290">
        <f>'12.Rigidezze di piano'!$AB$190</f>
        <v>25.698191341409505</v>
      </c>
      <c r="AI111" s="192"/>
      <c r="AJ111" s="192"/>
      <c r="AK111" s="192"/>
      <c r="AL111" s="290">
        <f>'12.Rigidezze di piano'!$AB$214</f>
        <v>6.0235981220437953</v>
      </c>
      <c r="AM111" s="192"/>
      <c r="AN111" s="290">
        <f>'12.Rigidezze di piano'!$AB$198</f>
        <v>37.941278510176254</v>
      </c>
    </row>
    <row r="112" spans="1:41">
      <c r="A112" s="478"/>
      <c r="B112" s="429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271"/>
      <c r="T112" s="194"/>
      <c r="U112" s="1"/>
      <c r="V112" s="1"/>
      <c r="X112" s="429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192"/>
      <c r="AK112" s="192"/>
      <c r="AL112" s="192"/>
      <c r="AM112" s="192"/>
      <c r="AN112" s="192"/>
    </row>
    <row r="113" spans="1:41">
      <c r="A113" s="478"/>
      <c r="B113" s="429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271"/>
      <c r="T113" s="194"/>
      <c r="U113" s="1"/>
      <c r="V113" s="1"/>
      <c r="X113" s="429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192"/>
      <c r="AK113" s="192"/>
      <c r="AL113" s="192"/>
      <c r="AM113" s="192"/>
      <c r="AN113" s="192"/>
    </row>
    <row r="114" spans="1:41">
      <c r="A114" s="478"/>
      <c r="B114" s="263">
        <v>5.15</v>
      </c>
      <c r="D114" s="290">
        <f>'12.Rigidezze di piano'!$M$214</f>
        <v>10.582317704234116</v>
      </c>
      <c r="E114" s="192"/>
      <c r="F114" s="290">
        <f>'12.Rigidezze di piano'!$M$198</f>
        <v>19.109954461646979</v>
      </c>
      <c r="G114" s="192"/>
      <c r="H114" s="192"/>
      <c r="I114" s="192"/>
      <c r="J114" s="192"/>
      <c r="K114" s="192"/>
      <c r="L114" s="192"/>
      <c r="M114" s="192"/>
      <c r="N114" s="192"/>
      <c r="O114" s="192"/>
      <c r="P114" s="290">
        <f>'12.Rigidezze di piano'!$M$198</f>
        <v>19.109954461646979</v>
      </c>
      <c r="Q114" s="192"/>
      <c r="R114" s="290">
        <f>'12.Rigidezze di piano'!$M$214</f>
        <v>10.582317704234116</v>
      </c>
      <c r="T114" s="1">
        <f>SUM(D114:R114)</f>
        <v>59.384544331762186</v>
      </c>
      <c r="U114" s="1">
        <f>T114*B114</f>
        <v>305.83040330857528</v>
      </c>
      <c r="V114" s="1">
        <f>T114*B114^2</f>
        <v>1575.0265770391629</v>
      </c>
      <c r="X114" s="263">
        <v>5.15</v>
      </c>
      <c r="Z114" s="290">
        <f>'12.Rigidezze di piano'!$AB$198</f>
        <v>37.941278510176254</v>
      </c>
      <c r="AA114" s="192"/>
      <c r="AB114" s="290">
        <f>'12.Rigidezze di piano'!$AB$206</f>
        <v>2.529342492677038</v>
      </c>
      <c r="AC114" s="192"/>
      <c r="AD114" s="192"/>
      <c r="AE114" s="192"/>
      <c r="AF114" s="192"/>
      <c r="AG114" s="192"/>
      <c r="AH114" s="192"/>
      <c r="AI114" s="192"/>
      <c r="AJ114" s="192"/>
      <c r="AK114" s="192"/>
      <c r="AL114" s="290">
        <f>'12.Rigidezze di piano'!$AB$206</f>
        <v>2.529342492677038</v>
      </c>
      <c r="AM114" s="192"/>
      <c r="AN114" s="290">
        <f>'12.Rigidezze di piano'!$AB$198</f>
        <v>37.941278510176254</v>
      </c>
    </row>
    <row r="115" spans="1:41">
      <c r="A115" s="478"/>
      <c r="B115" s="266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271"/>
      <c r="T115" s="194"/>
      <c r="U115" s="1"/>
      <c r="V115" s="1"/>
      <c r="X115" s="266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192"/>
      <c r="AK115" s="192"/>
      <c r="AL115" s="192"/>
      <c r="AM115" s="192"/>
      <c r="AN115" s="192"/>
    </row>
    <row r="116" spans="1:41">
      <c r="A116" s="478"/>
      <c r="B116" s="263">
        <v>4.55</v>
      </c>
      <c r="D116" s="192"/>
      <c r="E116" s="192"/>
      <c r="G116" s="192"/>
      <c r="H116" s="290">
        <f>'12.Rigidezze di piano'!$M$214</f>
        <v>10.582317704234116</v>
      </c>
      <c r="I116" s="192"/>
      <c r="J116" s="290">
        <f>'12.Rigidezze di piano'!$M$190</f>
        <v>43.799369286934329</v>
      </c>
      <c r="K116" s="192"/>
      <c r="L116" s="290">
        <f>'12.Rigidezze di piano'!$M$190</f>
        <v>43.799369286934329</v>
      </c>
      <c r="M116" s="192"/>
      <c r="N116" s="290">
        <f>'12.Rigidezze di piano'!$M$214</f>
        <v>10.582317704234116</v>
      </c>
      <c r="O116" s="192"/>
      <c r="P116" s="192"/>
      <c r="Q116" s="192"/>
      <c r="R116" s="271"/>
      <c r="T116" s="1">
        <f>SUM(D116:R116)</f>
        <v>108.76337398233689</v>
      </c>
      <c r="U116" s="1">
        <f>T116*B116</f>
        <v>494.87335161963284</v>
      </c>
      <c r="V116" s="1">
        <f>T116*B116^2</f>
        <v>2251.6737498693292</v>
      </c>
      <c r="X116" s="263">
        <v>4.55</v>
      </c>
      <c r="Z116" s="192"/>
      <c r="AA116" s="192"/>
      <c r="AC116" s="192"/>
      <c r="AD116" s="290">
        <f>'12.Rigidezze di piano'!$AB$190</f>
        <v>25.698191341409505</v>
      </c>
      <c r="AE116" s="192"/>
      <c r="AF116" s="290">
        <f>'12.Rigidezze di piano'!$AB$222</f>
        <v>11.652752118047319</v>
      </c>
      <c r="AG116" s="192"/>
      <c r="AH116" s="290">
        <f>'12.Rigidezze di piano'!$AB$222</f>
        <v>11.652752118047319</v>
      </c>
      <c r="AI116" s="192"/>
      <c r="AJ116" s="290">
        <f>'12.Rigidezze di piano'!$AB$190</f>
        <v>25.698191341409505</v>
      </c>
      <c r="AK116" s="192"/>
      <c r="AL116" s="192"/>
      <c r="AM116" s="192"/>
      <c r="AN116" s="192"/>
    </row>
    <row r="117" spans="1:41">
      <c r="A117" s="478"/>
      <c r="B117" s="267"/>
      <c r="D117" s="192"/>
      <c r="E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271"/>
      <c r="T117" s="194"/>
      <c r="U117" s="1"/>
      <c r="V117" s="1"/>
      <c r="X117" s="267"/>
      <c r="Z117" s="192"/>
      <c r="AA117" s="192"/>
      <c r="AC117" s="192"/>
      <c r="AD117" s="192"/>
      <c r="AE117" s="192"/>
      <c r="AF117" s="192"/>
      <c r="AG117" s="192"/>
      <c r="AH117" s="192"/>
      <c r="AI117" s="192"/>
      <c r="AJ117" s="192"/>
      <c r="AK117" s="192"/>
      <c r="AL117" s="192"/>
      <c r="AM117" s="192"/>
      <c r="AN117" s="192"/>
    </row>
    <row r="118" spans="1:41">
      <c r="A118" s="478"/>
      <c r="B118" s="67">
        <v>0.4</v>
      </c>
      <c r="C118" s="38"/>
      <c r="D118" s="290">
        <f>'12.Rigidezze di piano'!$M$214</f>
        <v>10.582317704234116</v>
      </c>
      <c r="E118" s="63"/>
      <c r="F118" s="63"/>
      <c r="G118" s="63"/>
      <c r="H118" s="290">
        <f>'12.Rigidezze di piano'!$M$198</f>
        <v>19.109954461646979</v>
      </c>
      <c r="I118" s="63"/>
      <c r="J118" s="63"/>
      <c r="K118" s="63"/>
      <c r="L118" s="63"/>
      <c r="M118" s="63"/>
      <c r="N118" s="290">
        <f>'12.Rigidezze di piano'!$M$198</f>
        <v>19.109954461646979</v>
      </c>
      <c r="O118" s="63"/>
      <c r="P118" s="63"/>
      <c r="Q118" s="63"/>
      <c r="R118" s="290">
        <f>'12.Rigidezze di piano'!$M$214</f>
        <v>10.582317704234116</v>
      </c>
      <c r="T118" s="1">
        <f>SUM(D118:R118)</f>
        <v>59.384544331762186</v>
      </c>
      <c r="U118" s="1">
        <f>T118*B118</f>
        <v>23.753817732704874</v>
      </c>
      <c r="V118" s="1">
        <f>T118*B118^2</f>
        <v>9.5015270930819522</v>
      </c>
      <c r="X118" s="67">
        <v>0.4</v>
      </c>
      <c r="Y118" s="38"/>
      <c r="Z118" s="290">
        <f>'12.Rigidezze di piano'!$AB$190</f>
        <v>25.698191341409505</v>
      </c>
      <c r="AA118" s="63"/>
      <c r="AB118" s="63"/>
      <c r="AC118" s="63"/>
      <c r="AD118" s="290">
        <f>'12.Rigidezze di piano'!$AB$222</f>
        <v>11.652752118047319</v>
      </c>
      <c r="AE118" s="63"/>
      <c r="AF118" s="63"/>
      <c r="AG118" s="63"/>
      <c r="AH118" s="63"/>
      <c r="AI118" s="63"/>
      <c r="AJ118" s="290">
        <f>'12.Rigidezze di piano'!$AB$222</f>
        <v>11.652752118047319</v>
      </c>
      <c r="AK118" s="63"/>
      <c r="AL118" s="63"/>
      <c r="AM118" s="63"/>
      <c r="AN118" s="290">
        <f>'12.Rigidezze di piano'!$AB$190</f>
        <v>25.698191341409505</v>
      </c>
    </row>
    <row r="119" spans="1:41">
      <c r="A119" s="478"/>
      <c r="C119" s="60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4"/>
      <c r="T119" s="194"/>
      <c r="Y119" s="60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4"/>
    </row>
    <row r="120" spans="1:41" ht="15.75" thickBot="1">
      <c r="A120" s="478"/>
      <c r="T120" s="273">
        <f>SUM(T104:T118)</f>
        <v>562.85224579227383</v>
      </c>
      <c r="U120" s="281">
        <f>SUM(U104:U118)</f>
        <v>5171.8263566428213</v>
      </c>
      <c r="V120" s="281">
        <f>SUM(V104:V118)</f>
        <v>63121.013721950592</v>
      </c>
      <c r="AO120" s="272" t="s">
        <v>21</v>
      </c>
    </row>
    <row r="121" spans="1:41">
      <c r="A121" s="478"/>
      <c r="B121" s="480" t="s">
        <v>388</v>
      </c>
      <c r="C121" s="481"/>
      <c r="D121" s="486" t="s">
        <v>389</v>
      </c>
      <c r="E121" s="486" t="s">
        <v>390</v>
      </c>
      <c r="T121" s="194"/>
      <c r="X121" s="275" t="s">
        <v>394</v>
      </c>
      <c r="Z121" s="192">
        <f>SUM(Z104:Z118)</f>
        <v>165.22021821334778</v>
      </c>
      <c r="AA121" s="192"/>
      <c r="AB121" s="192">
        <f>SUM(AB104:AB118)</f>
        <v>11.082283107397872</v>
      </c>
      <c r="AC121" s="192"/>
      <c r="AD121" s="192">
        <f>SUM(AD104:AD118)</f>
        <v>74.701886918913644</v>
      </c>
      <c r="AE121" s="192"/>
      <c r="AF121" s="192">
        <f>SUM(AF104:AF118)</f>
        <v>39.88028595213386</v>
      </c>
      <c r="AG121" s="192"/>
      <c r="AH121" s="192">
        <f>SUM(AH104:AH118)</f>
        <v>39.88028595213386</v>
      </c>
      <c r="AI121" s="192"/>
      <c r="AJ121" s="192">
        <f>SUM(AJ104:AJ118)</f>
        <v>74.701886918913644</v>
      </c>
      <c r="AK121" s="192"/>
      <c r="AL121" s="192">
        <f>SUM(AL104:AL118)</f>
        <v>11.082283107397872</v>
      </c>
      <c r="AM121" s="192"/>
      <c r="AN121" s="192">
        <f>SUM(AN104:AN118)</f>
        <v>165.22021821334778</v>
      </c>
      <c r="AO121" s="283">
        <f>SUM(Z121:AN121)</f>
        <v>581.76934838358636</v>
      </c>
    </row>
    <row r="122" spans="1:41">
      <c r="A122" s="478"/>
      <c r="B122" s="482"/>
      <c r="C122" s="483"/>
      <c r="D122" s="486"/>
      <c r="E122" s="486"/>
      <c r="F122" s="274"/>
      <c r="X122" s="276" t="s">
        <v>391</v>
      </c>
      <c r="Z122" s="282">
        <f>Z121*Z102</f>
        <v>24.783032732002166</v>
      </c>
      <c r="AA122" s="282"/>
      <c r="AB122" s="282">
        <f>AB121*AB102</f>
        <v>50.978502294030207</v>
      </c>
      <c r="AC122" s="282"/>
      <c r="AD122" s="282">
        <f>AD121*AD102</f>
        <v>493.03245366483003</v>
      </c>
      <c r="AE122" s="282"/>
      <c r="AF122" s="282">
        <f>AF121*AF102</f>
        <v>424.7250453902256</v>
      </c>
      <c r="AG122" s="282"/>
      <c r="AH122" s="282">
        <f>AH121*AH102</f>
        <v>536.38984605620044</v>
      </c>
      <c r="AI122" s="282"/>
      <c r="AJ122" s="282">
        <f>AJ121*AJ102</f>
        <v>1307.2830210809889</v>
      </c>
      <c r="AK122" s="282"/>
      <c r="AL122" s="282">
        <f>AL121*AL102</f>
        <v>216.1045205942585</v>
      </c>
      <c r="AM122" s="282"/>
      <c r="AN122" s="282">
        <f>AN121*AN102</f>
        <v>3957.024226209679</v>
      </c>
      <c r="AO122" s="281">
        <f>SUM(Z122:AN122)</f>
        <v>7010.3206480222143</v>
      </c>
    </row>
    <row r="123" spans="1:41" ht="18" thickBot="1">
      <c r="A123" s="478"/>
      <c r="B123" s="484"/>
      <c r="C123" s="485"/>
      <c r="D123" s="8">
        <f>U120/T120</f>
        <v>9.1886039281284759</v>
      </c>
      <c r="E123" s="261">
        <f>AO122/AO121</f>
        <v>12.049999999999997</v>
      </c>
      <c r="X123" s="277" t="s">
        <v>392</v>
      </c>
      <c r="Z123" s="282">
        <f>Z121*Z102^2</f>
        <v>3.7174549098003249</v>
      </c>
      <c r="AA123" s="282"/>
      <c r="AB123" s="282">
        <f>AB121*AB102^2</f>
        <v>234.50111055253893</v>
      </c>
      <c r="AC123" s="282"/>
      <c r="AD123" s="282">
        <f>AD121*AD102^2</f>
        <v>3254.0141941878778</v>
      </c>
      <c r="AE123" s="282"/>
      <c r="AF123" s="282">
        <f>AF121*AF102^2</f>
        <v>4523.3217334059036</v>
      </c>
      <c r="AG123" s="282"/>
      <c r="AH123" s="282">
        <f>AH121*AH102^2</f>
        <v>7214.4434294558951</v>
      </c>
      <c r="AI123" s="282"/>
      <c r="AJ123" s="282">
        <f>AJ121*AJ102^2</f>
        <v>22877.452868917302</v>
      </c>
      <c r="AK123" s="282"/>
      <c r="AL123" s="282">
        <f>AL121*AL102^2</f>
        <v>4214.0381515880408</v>
      </c>
      <c r="AM123" s="282"/>
      <c r="AN123" s="282">
        <f>AN121*AN102^2</f>
        <v>94770.730217721808</v>
      </c>
      <c r="AO123" s="281">
        <f>SUM(Z123:AN123)</f>
        <v>137092.21916073916</v>
      </c>
    </row>
  </sheetData>
  <mergeCells count="50">
    <mergeCell ref="A101:A123"/>
    <mergeCell ref="D101:J101"/>
    <mergeCell ref="Z101:AF101"/>
    <mergeCell ref="B109:B110"/>
    <mergeCell ref="X109:X110"/>
    <mergeCell ref="B112:B113"/>
    <mergeCell ref="X112:X113"/>
    <mergeCell ref="B121:C123"/>
    <mergeCell ref="D121:D122"/>
    <mergeCell ref="E121:E122"/>
    <mergeCell ref="Z1:AF1"/>
    <mergeCell ref="X9:X10"/>
    <mergeCell ref="X12:X13"/>
    <mergeCell ref="D1:J1"/>
    <mergeCell ref="B9:B10"/>
    <mergeCell ref="B12:B13"/>
    <mergeCell ref="A1:A23"/>
    <mergeCell ref="A26:A48"/>
    <mergeCell ref="D26:J26"/>
    <mergeCell ref="B46:C48"/>
    <mergeCell ref="D46:D47"/>
    <mergeCell ref="E46:E47"/>
    <mergeCell ref="B21:C23"/>
    <mergeCell ref="D21:D22"/>
    <mergeCell ref="E21:E22"/>
    <mergeCell ref="Z26:AF26"/>
    <mergeCell ref="B34:B35"/>
    <mergeCell ref="X34:X35"/>
    <mergeCell ref="B37:B38"/>
    <mergeCell ref="X37:X38"/>
    <mergeCell ref="A51:A73"/>
    <mergeCell ref="D51:J51"/>
    <mergeCell ref="Z51:AF51"/>
    <mergeCell ref="B59:B60"/>
    <mergeCell ref="X59:X60"/>
    <mergeCell ref="B62:B63"/>
    <mergeCell ref="X62:X63"/>
    <mergeCell ref="B71:C73"/>
    <mergeCell ref="D71:D72"/>
    <mergeCell ref="E71:E72"/>
    <mergeCell ref="A76:A98"/>
    <mergeCell ref="D76:J76"/>
    <mergeCell ref="Z76:AF76"/>
    <mergeCell ref="B84:B85"/>
    <mergeCell ref="X84:X85"/>
    <mergeCell ref="B87:B88"/>
    <mergeCell ref="X87:X88"/>
    <mergeCell ref="B96:C98"/>
    <mergeCell ref="D96:D97"/>
    <mergeCell ref="E96:E97"/>
  </mergeCells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2:R103"/>
  <sheetViews>
    <sheetView tabSelected="1" zoomScale="80" zoomScaleNormal="80" workbookViewId="0">
      <selection activeCell="M104" sqref="M104"/>
    </sheetView>
  </sheetViews>
  <sheetFormatPr defaultRowHeight="15"/>
  <cols>
    <col min="2" max="2" width="24.140625" customWidth="1"/>
    <col min="4" max="4" width="10.42578125" customWidth="1"/>
    <col min="8" max="8" width="10.7109375" customWidth="1"/>
    <col min="10" max="10" width="13.7109375" customWidth="1"/>
    <col min="13" max="13" width="12.5703125" customWidth="1"/>
    <col min="14" max="16" width="16.85546875" customWidth="1"/>
    <col min="17" max="17" width="15.7109375" customWidth="1"/>
    <col min="18" max="18" width="15.28515625" customWidth="1"/>
  </cols>
  <sheetData>
    <row r="2" spans="2:18" ht="18.75">
      <c r="B2" s="490" t="s">
        <v>453</v>
      </c>
      <c r="C2" s="491"/>
      <c r="D2" s="491"/>
      <c r="E2" s="491"/>
      <c r="F2" s="491"/>
      <c r="G2" s="491"/>
      <c r="H2" s="491"/>
      <c r="I2" s="491"/>
      <c r="J2" s="492"/>
      <c r="M2" s="488" t="s">
        <v>0</v>
      </c>
      <c r="N2" s="488" t="s">
        <v>454</v>
      </c>
      <c r="O2" s="487" t="s">
        <v>455</v>
      </c>
      <c r="P2" s="487" t="s">
        <v>456</v>
      </c>
      <c r="Q2" s="487" t="s">
        <v>458</v>
      </c>
      <c r="R2" s="487" t="s">
        <v>457</v>
      </c>
    </row>
    <row r="3" spans="2:18" ht="18.75">
      <c r="B3" s="304"/>
      <c r="C3" s="68" t="s">
        <v>159</v>
      </c>
      <c r="D3" s="68" t="s">
        <v>161</v>
      </c>
      <c r="E3" s="71" t="s">
        <v>164</v>
      </c>
      <c r="F3" s="68" t="s">
        <v>437</v>
      </c>
      <c r="G3" s="68" t="s">
        <v>438</v>
      </c>
      <c r="H3" s="68" t="s">
        <v>439</v>
      </c>
      <c r="I3" s="305" t="s">
        <v>433</v>
      </c>
      <c r="J3" s="306" t="s">
        <v>434</v>
      </c>
      <c r="M3" s="488"/>
      <c r="N3" s="488"/>
      <c r="O3" s="488"/>
      <c r="P3" s="488"/>
      <c r="Q3" s="488"/>
      <c r="R3" s="488"/>
    </row>
    <row r="4" spans="2:18" ht="17.25">
      <c r="B4" s="72" t="s">
        <v>419</v>
      </c>
      <c r="C4" s="8">
        <f>'3.Riepilogo carichi unitari'!$H$4</f>
        <v>10.37895</v>
      </c>
      <c r="D4" s="8">
        <f>'3.Riepilogo carichi unitari'!$J$4</f>
        <v>6.0914999999999999</v>
      </c>
      <c r="E4" s="302" t="s">
        <v>41</v>
      </c>
      <c r="F4" s="8">
        <f>351.4-F7</f>
        <v>336.29999999999995</v>
      </c>
      <c r="G4" s="8"/>
      <c r="H4" s="8"/>
      <c r="I4" s="4">
        <f>C4*F4</f>
        <v>3490.4408849999995</v>
      </c>
      <c r="J4" s="4">
        <f>D4*F4</f>
        <v>2048.5714499999999</v>
      </c>
      <c r="M4" s="7" t="s">
        <v>265</v>
      </c>
      <c r="N4" s="4">
        <f>SUM(F76:F79)+SUM(F94:F95)</f>
        <v>541.70000000000005</v>
      </c>
      <c r="O4" s="4">
        <f>'8.Masse e forze'!D2</f>
        <v>4875.3</v>
      </c>
      <c r="P4" s="4">
        <f>J99+J88</f>
        <v>4442.0842835143321</v>
      </c>
      <c r="Q4" s="301">
        <v>9</v>
      </c>
      <c r="R4" s="8">
        <f>P4/N4</f>
        <v>8.200266353173955</v>
      </c>
    </row>
    <row r="5" spans="2:18" ht="17.25">
      <c r="B5" s="72" t="s">
        <v>421</v>
      </c>
      <c r="C5" s="8">
        <f>'3.Riepilogo carichi unitari'!$H$6</f>
        <v>5.7049500000000011</v>
      </c>
      <c r="D5" s="8">
        <f>'3.Riepilogo carichi unitari'!$J$6</f>
        <v>3.8115000000000006</v>
      </c>
      <c r="E5" s="302" t="s">
        <v>41</v>
      </c>
      <c r="F5" s="8">
        <v>0</v>
      </c>
      <c r="G5" s="8"/>
      <c r="H5" s="8"/>
      <c r="I5" s="4">
        <f t="shared" ref="I5:I7" si="0">C5*F5</f>
        <v>0</v>
      </c>
      <c r="J5" s="4">
        <f t="shared" ref="J5:J7" si="1">D5*F5</f>
        <v>0</v>
      </c>
      <c r="M5" s="7">
        <v>5</v>
      </c>
      <c r="N5" s="4">
        <f>SUM(F58:F61)</f>
        <v>481.7</v>
      </c>
      <c r="O5" s="4">
        <f>'8.Masse e forze'!D3</f>
        <v>4817</v>
      </c>
      <c r="P5" s="4">
        <f>J70</f>
        <v>4793.6955835143326</v>
      </c>
      <c r="Q5" s="301">
        <v>10</v>
      </c>
      <c r="R5" s="8">
        <f t="shared" ref="R5:R9" si="2">P5/N5</f>
        <v>9.9516204764673706</v>
      </c>
    </row>
    <row r="6" spans="2:18" ht="17.25">
      <c r="B6" s="72" t="s">
        <v>109</v>
      </c>
      <c r="C6" s="8">
        <f>'3.Riepilogo carichi unitari'!$H$7</f>
        <v>10.95495</v>
      </c>
      <c r="D6" s="8">
        <f>'3.Riepilogo carichi unitari'!$J$7</f>
        <v>6.2115000000000009</v>
      </c>
      <c r="E6" s="302" t="s">
        <v>41</v>
      </c>
      <c r="F6" s="8">
        <f>481.7-351.4</f>
        <v>130.30000000000001</v>
      </c>
      <c r="G6" s="301"/>
      <c r="H6" s="8"/>
      <c r="I6" s="4">
        <f t="shared" si="0"/>
        <v>1427.4299850000002</v>
      </c>
      <c r="J6" s="4">
        <f t="shared" si="1"/>
        <v>809.35845000000018</v>
      </c>
      <c r="M6" s="7">
        <v>4</v>
      </c>
      <c r="N6" s="4">
        <f>SUM(F40:F43)</f>
        <v>481.7</v>
      </c>
      <c r="O6" s="4">
        <f>'8.Masse e forze'!D4</f>
        <v>4817</v>
      </c>
      <c r="P6" s="4">
        <f>J52</f>
        <v>4829.6955835143326</v>
      </c>
      <c r="Q6" s="301">
        <v>10</v>
      </c>
      <c r="R6" s="8">
        <f t="shared" si="2"/>
        <v>10.026355788902498</v>
      </c>
    </row>
    <row r="7" spans="2:18" ht="17.25">
      <c r="B7" s="72" t="s">
        <v>110</v>
      </c>
      <c r="C7" s="8">
        <f>'3.Riepilogo carichi unitari'!$H$8</f>
        <v>15.237165368783602</v>
      </c>
      <c r="D7" s="8">
        <f>'3.Riepilogo carichi unitari'!$J$8</f>
        <v>9.5055118221412318</v>
      </c>
      <c r="E7" s="302" t="s">
        <v>41</v>
      </c>
      <c r="F7" s="8">
        <v>15.1</v>
      </c>
      <c r="G7" s="301"/>
      <c r="H7" s="8"/>
      <c r="I7" s="4">
        <f t="shared" si="0"/>
        <v>230.08119706863238</v>
      </c>
      <c r="J7" s="4">
        <f t="shared" si="1"/>
        <v>143.53322851433259</v>
      </c>
      <c r="M7" s="7">
        <v>3</v>
      </c>
      <c r="N7" s="4">
        <f>SUM(F22:F25)</f>
        <v>481.7</v>
      </c>
      <c r="O7" s="4">
        <f>'8.Masse e forze'!D5</f>
        <v>4817</v>
      </c>
      <c r="P7" s="4">
        <f>J34</f>
        <v>4865.6955835143326</v>
      </c>
      <c r="Q7" s="301">
        <v>10</v>
      </c>
      <c r="R7" s="8">
        <f t="shared" si="2"/>
        <v>10.101091101337623</v>
      </c>
    </row>
    <row r="8" spans="2:18" ht="15.75">
      <c r="B8" s="72" t="s">
        <v>425</v>
      </c>
      <c r="C8" s="8">
        <f>'3.Riepilogo carichi unitari'!$H$9</f>
        <v>5.184075</v>
      </c>
      <c r="D8" s="8">
        <f>'3.Riepilogo carichi unitari'!$J$9</f>
        <v>3.9877500000000001</v>
      </c>
      <c r="E8" s="302" t="s">
        <v>165</v>
      </c>
      <c r="F8" s="8"/>
      <c r="G8" s="8">
        <f>6.7*4+10.4*2+4.6*2+23.8+4.65*2+16.9*2+6.28*2+2.5*4</f>
        <v>146.26</v>
      </c>
      <c r="H8" s="301"/>
      <c r="I8" s="4">
        <f>C8*G8</f>
        <v>758.22280949999993</v>
      </c>
      <c r="J8" s="4">
        <f>D8*G8</f>
        <v>583.24831499999993</v>
      </c>
      <c r="M8" s="7">
        <v>2</v>
      </c>
      <c r="N8" s="4">
        <f t="shared" ref="N8" si="3">N7</f>
        <v>481.7</v>
      </c>
      <c r="O8" s="4">
        <f>'8.Masse e forze'!D6</f>
        <v>4817</v>
      </c>
      <c r="P8" s="4">
        <f>J34</f>
        <v>4865.6955835143326</v>
      </c>
      <c r="Q8" s="301">
        <v>10</v>
      </c>
      <c r="R8" s="8">
        <f t="shared" si="2"/>
        <v>10.101091101337623</v>
      </c>
    </row>
    <row r="9" spans="2:18" ht="15.75">
      <c r="B9" s="72" t="s">
        <v>426</v>
      </c>
      <c r="C9" s="8">
        <f>'3.Riepilogo carichi unitari'!$H$10</f>
        <v>2.3026249999999999</v>
      </c>
      <c r="D9" s="8">
        <f>'3.Riepilogo carichi unitari'!$J$10</f>
        <v>1.7712499999999998</v>
      </c>
      <c r="E9" s="302" t="s">
        <v>165</v>
      </c>
      <c r="F9" s="8"/>
      <c r="G9" s="8">
        <f>2.2*2+3.1*2+4.62*2+3.78*2+5.62*2</f>
        <v>38.64</v>
      </c>
      <c r="H9" s="301"/>
      <c r="I9" s="4">
        <f>C9*G9</f>
        <v>88.973429999999993</v>
      </c>
      <c r="J9" s="4">
        <f>D9*G9</f>
        <v>68.441099999999992</v>
      </c>
      <c r="M9" s="7">
        <v>1</v>
      </c>
      <c r="N9" s="4">
        <f>SUM(F4:F7)</f>
        <v>481.7</v>
      </c>
      <c r="O9" s="4">
        <f>'8.Masse e forze'!D7</f>
        <v>4817</v>
      </c>
      <c r="P9" s="4">
        <f>J16</f>
        <v>4902.8463035143322</v>
      </c>
      <c r="Q9" s="301">
        <v>10</v>
      </c>
      <c r="R9" s="8">
        <f t="shared" si="2"/>
        <v>10.178215286515117</v>
      </c>
    </row>
    <row r="10" spans="2:18" ht="15.75">
      <c r="B10" s="72" t="s">
        <v>430</v>
      </c>
      <c r="C10" s="8">
        <f>0.3*0.8*3.2*25*1.3*0.5</f>
        <v>12.48</v>
      </c>
      <c r="D10" s="8">
        <f>0.3*0.8*3.2*25*0.5</f>
        <v>9.6</v>
      </c>
      <c r="E10" s="302" t="s">
        <v>432</v>
      </c>
      <c r="F10" s="8"/>
      <c r="G10" s="301"/>
      <c r="H10" s="301">
        <v>30</v>
      </c>
      <c r="I10" s="4">
        <f>C10*H10</f>
        <v>374.40000000000003</v>
      </c>
      <c r="J10" s="4">
        <f>D10*H10</f>
        <v>288</v>
      </c>
      <c r="M10" s="7" t="s">
        <v>21</v>
      </c>
      <c r="N10" s="313"/>
      <c r="O10" s="4">
        <f>SUM(O4:O9)</f>
        <v>28960.3</v>
      </c>
      <c r="P10" s="4">
        <f>SUM(P4:P9)</f>
        <v>28699.712921085997</v>
      </c>
      <c r="Q10" s="314"/>
      <c r="R10" s="4"/>
    </row>
    <row r="11" spans="2:18" ht="15.75">
      <c r="B11" s="72" t="s">
        <v>431</v>
      </c>
      <c r="C11" s="8">
        <f>0.3*0.8*3.6*25*1.3*0.5</f>
        <v>14.040000000000001</v>
      </c>
      <c r="D11" s="8">
        <f>0.3*0.8*3.6*25*0.5</f>
        <v>10.8</v>
      </c>
      <c r="E11" s="302" t="s">
        <v>432</v>
      </c>
      <c r="F11" s="8"/>
      <c r="G11" s="301"/>
      <c r="H11" s="301">
        <v>30</v>
      </c>
      <c r="I11" s="4">
        <f>C11*H11</f>
        <v>421.20000000000005</v>
      </c>
      <c r="J11" s="4">
        <f>D11*H11</f>
        <v>324</v>
      </c>
      <c r="N11" s="192"/>
      <c r="O11" s="192"/>
    </row>
    <row r="12" spans="2:18" ht="15.75">
      <c r="B12" s="72" t="s">
        <v>427</v>
      </c>
      <c r="C12" s="8">
        <f>'3.Riepilogo carichi unitari'!$H$11</f>
        <v>7.8416000000000015</v>
      </c>
      <c r="D12" s="8">
        <f>'3.Riepilogo carichi unitari'!$J$11</f>
        <v>6.0320000000000009</v>
      </c>
      <c r="E12" s="302" t="s">
        <v>165</v>
      </c>
      <c r="F12" s="8"/>
      <c r="G12" s="301">
        <f>((17.2-(0.8*5))*2+(5.9)*4+(1.7)*4+(10.1-(0.8*2))*2)*0.5*0.9</f>
        <v>33.21</v>
      </c>
      <c r="H12" s="301"/>
      <c r="I12" s="4">
        <f>C12*G12</f>
        <v>260.41953600000005</v>
      </c>
      <c r="J12" s="4">
        <f>D12*G12</f>
        <v>200.32272000000003</v>
      </c>
    </row>
    <row r="13" spans="2:18" ht="15.75">
      <c r="B13" s="72" t="s">
        <v>436</v>
      </c>
      <c r="C13" s="8">
        <f>'3.Riepilogo carichi unitari'!$H$11</f>
        <v>7.8416000000000015</v>
      </c>
      <c r="D13" s="8">
        <f>'3.Riepilogo carichi unitari'!$J$11</f>
        <v>6.0320000000000009</v>
      </c>
      <c r="E13" s="302" t="s">
        <v>165</v>
      </c>
      <c r="F13" s="8"/>
      <c r="G13" s="301">
        <f>((17.2-(0.8*5))*2+(5.9)*4+(1.7)*4+(10.1-(0.8*2))*2)*0.5*0.9</f>
        <v>33.21</v>
      </c>
      <c r="H13" s="301"/>
      <c r="I13" s="4">
        <f t="shared" ref="I13:I15" si="4">C13*G13</f>
        <v>260.41953600000005</v>
      </c>
      <c r="J13" s="4">
        <f t="shared" ref="J13:J15" si="5">D13*G13</f>
        <v>200.32272000000003</v>
      </c>
    </row>
    <row r="14" spans="2:18" ht="15.75">
      <c r="B14" s="72" t="s">
        <v>428</v>
      </c>
      <c r="C14" s="8">
        <f>'3.Riepilogo carichi unitari'!$H$12</f>
        <v>3.7398400000000005</v>
      </c>
      <c r="D14" s="8">
        <f>'3.Riepilogo carichi unitari'!$J$12</f>
        <v>2.8768000000000002</v>
      </c>
      <c r="E14" s="302" t="s">
        <v>165</v>
      </c>
      <c r="F14" s="8"/>
      <c r="G14" s="301">
        <f>0.8*0.5*102.5</f>
        <v>41</v>
      </c>
      <c r="H14" s="301"/>
      <c r="I14" s="4">
        <f t="shared" si="4"/>
        <v>153.33344000000002</v>
      </c>
      <c r="J14" s="4">
        <f t="shared" si="5"/>
        <v>117.94880000000001</v>
      </c>
    </row>
    <row r="15" spans="2:18" ht="15.75">
      <c r="B15" s="72" t="s">
        <v>429</v>
      </c>
      <c r="C15" s="8">
        <f>'3.Riepilogo carichi unitari'!$H$12</f>
        <v>3.7398400000000005</v>
      </c>
      <c r="D15" s="8">
        <f>'3.Riepilogo carichi unitari'!$J$12</f>
        <v>2.8768000000000002</v>
      </c>
      <c r="E15" s="302" t="s">
        <v>165</v>
      </c>
      <c r="F15" s="8"/>
      <c r="G15" s="301">
        <f>0.8*0.5*103.5</f>
        <v>41.400000000000006</v>
      </c>
      <c r="H15" s="301"/>
      <c r="I15" s="4">
        <f t="shared" si="4"/>
        <v>154.82937600000005</v>
      </c>
      <c r="J15" s="4">
        <f t="shared" si="5"/>
        <v>119.09952000000003</v>
      </c>
    </row>
    <row r="16" spans="2:18" ht="15.75">
      <c r="B16" s="341"/>
      <c r="C16" s="341"/>
      <c r="D16" s="341"/>
      <c r="E16" s="341"/>
      <c r="F16" s="341"/>
      <c r="G16" s="489" t="s">
        <v>440</v>
      </c>
      <c r="H16" s="489"/>
      <c r="I16" s="8">
        <f>SUM(I4:I15)</f>
        <v>7619.7501945686327</v>
      </c>
      <c r="J16" s="8">
        <f>SUM(J4:J15)</f>
        <v>4902.8463035143322</v>
      </c>
    </row>
    <row r="17" spans="2:10" ht="15.75">
      <c r="B17" s="341"/>
      <c r="C17" s="341"/>
      <c r="D17" s="341"/>
      <c r="E17" s="341"/>
      <c r="F17" s="341"/>
      <c r="G17" s="489" t="s">
        <v>441</v>
      </c>
      <c r="H17" s="489"/>
      <c r="I17" s="8">
        <f>I16/9.81</f>
        <v>776.73294541984023</v>
      </c>
      <c r="J17" s="8">
        <f>J16/9.81</f>
        <v>499.78045907383608</v>
      </c>
    </row>
    <row r="18" spans="2:10">
      <c r="B18" s="341"/>
      <c r="C18" s="341"/>
      <c r="D18" s="341"/>
      <c r="E18" s="341"/>
      <c r="F18" s="341"/>
      <c r="G18" s="493" t="s">
        <v>442</v>
      </c>
      <c r="H18" s="493"/>
      <c r="I18" s="312">
        <f>I16/SUM(F4:F7)</f>
        <v>15.818455874130439</v>
      </c>
      <c r="J18" s="312">
        <f>J16/SUM(F4:F7)</f>
        <v>10.178215286515117</v>
      </c>
    </row>
    <row r="20" spans="2:10" ht="18.75">
      <c r="B20" s="490" t="s">
        <v>435</v>
      </c>
      <c r="C20" s="491"/>
      <c r="D20" s="491"/>
      <c r="E20" s="491"/>
      <c r="F20" s="491"/>
      <c r="G20" s="491"/>
      <c r="H20" s="491"/>
      <c r="I20" s="491"/>
      <c r="J20" s="492"/>
    </row>
    <row r="21" spans="2:10" ht="18.75">
      <c r="B21" s="304"/>
      <c r="C21" s="68" t="s">
        <v>159</v>
      </c>
      <c r="D21" s="68" t="s">
        <v>161</v>
      </c>
      <c r="E21" s="71" t="s">
        <v>164</v>
      </c>
      <c r="F21" s="68" t="s">
        <v>437</v>
      </c>
      <c r="G21" s="68" t="s">
        <v>438</v>
      </c>
      <c r="H21" s="68" t="s">
        <v>439</v>
      </c>
      <c r="I21" s="305" t="s">
        <v>433</v>
      </c>
      <c r="J21" s="306" t="s">
        <v>434</v>
      </c>
    </row>
    <row r="22" spans="2:10" ht="17.25">
      <c r="B22" s="72" t="s">
        <v>419</v>
      </c>
      <c r="C22" s="8">
        <f>'3.Riepilogo carichi unitari'!$H$4</f>
        <v>10.37895</v>
      </c>
      <c r="D22" s="8">
        <f>'3.Riepilogo carichi unitari'!$J$4</f>
        <v>6.0914999999999999</v>
      </c>
      <c r="E22" s="299" t="s">
        <v>41</v>
      </c>
      <c r="F22" s="8">
        <f>351.4-F25</f>
        <v>336.29999999999995</v>
      </c>
      <c r="G22" s="8"/>
      <c r="H22" s="8"/>
      <c r="I22" s="4">
        <f>C22*F22</f>
        <v>3490.4408849999995</v>
      </c>
      <c r="J22" s="4">
        <f>D22*F22</f>
        <v>2048.5714499999999</v>
      </c>
    </row>
    <row r="23" spans="2:10" ht="17.25">
      <c r="B23" s="72" t="s">
        <v>421</v>
      </c>
      <c r="C23" s="8">
        <f>'3.Riepilogo carichi unitari'!$H$6</f>
        <v>5.7049500000000011</v>
      </c>
      <c r="D23" s="8">
        <f>'3.Riepilogo carichi unitari'!$J$6</f>
        <v>3.8115000000000006</v>
      </c>
      <c r="E23" s="299" t="s">
        <v>41</v>
      </c>
      <c r="F23" s="8">
        <v>0</v>
      </c>
      <c r="G23" s="8"/>
      <c r="H23" s="8"/>
      <c r="I23" s="4">
        <f t="shared" ref="I23:I25" si="6">C23*F23</f>
        <v>0</v>
      </c>
      <c r="J23" s="4">
        <f t="shared" ref="J23:J25" si="7">D23*F23</f>
        <v>0</v>
      </c>
    </row>
    <row r="24" spans="2:10" ht="17.25">
      <c r="B24" s="72" t="s">
        <v>109</v>
      </c>
      <c r="C24" s="8">
        <f>'3.Riepilogo carichi unitari'!$H$7</f>
        <v>10.95495</v>
      </c>
      <c r="D24" s="8">
        <f>'3.Riepilogo carichi unitari'!$J$7</f>
        <v>6.2115000000000009</v>
      </c>
      <c r="E24" s="299" t="s">
        <v>41</v>
      </c>
      <c r="F24" s="8">
        <f>481.7-351.4</f>
        <v>130.30000000000001</v>
      </c>
      <c r="G24" s="298"/>
      <c r="H24" s="8"/>
      <c r="I24" s="4">
        <f t="shared" si="6"/>
        <v>1427.4299850000002</v>
      </c>
      <c r="J24" s="4">
        <f t="shared" si="7"/>
        <v>809.35845000000018</v>
      </c>
    </row>
    <row r="25" spans="2:10" ht="17.25">
      <c r="B25" s="72" t="s">
        <v>110</v>
      </c>
      <c r="C25" s="8">
        <f>'3.Riepilogo carichi unitari'!$H$8</f>
        <v>15.237165368783602</v>
      </c>
      <c r="D25" s="8">
        <f>'3.Riepilogo carichi unitari'!$J$8</f>
        <v>9.5055118221412318</v>
      </c>
      <c r="E25" s="299" t="s">
        <v>41</v>
      </c>
      <c r="F25" s="8">
        <v>15.1</v>
      </c>
      <c r="G25" s="298"/>
      <c r="H25" s="8"/>
      <c r="I25" s="4">
        <f t="shared" si="6"/>
        <v>230.08119706863238</v>
      </c>
      <c r="J25" s="4">
        <f t="shared" si="7"/>
        <v>143.53322851433259</v>
      </c>
    </row>
    <row r="26" spans="2:10" ht="15.75">
      <c r="B26" s="72" t="s">
        <v>425</v>
      </c>
      <c r="C26" s="8">
        <f>'3.Riepilogo carichi unitari'!$H$9</f>
        <v>5.184075</v>
      </c>
      <c r="D26" s="8">
        <f>'3.Riepilogo carichi unitari'!$J$9</f>
        <v>3.9877500000000001</v>
      </c>
      <c r="E26" s="299" t="s">
        <v>165</v>
      </c>
      <c r="F26" s="8"/>
      <c r="G26" s="8">
        <f>6.7*4+10.4*2+4.6*2+23.8+4.65*2+16.9*2+6.28*2+2.5*4</f>
        <v>146.26</v>
      </c>
      <c r="H26" s="298"/>
      <c r="I26" s="4">
        <f>C26*G26</f>
        <v>758.22280949999993</v>
      </c>
      <c r="J26" s="4">
        <f>D26*G26</f>
        <v>583.24831499999993</v>
      </c>
    </row>
    <row r="27" spans="2:10" ht="15.75">
      <c r="B27" s="72" t="s">
        <v>426</v>
      </c>
      <c r="C27" s="8">
        <f>'3.Riepilogo carichi unitari'!$H$10</f>
        <v>2.3026249999999999</v>
      </c>
      <c r="D27" s="8">
        <f>'3.Riepilogo carichi unitari'!$J$10</f>
        <v>1.7712499999999998</v>
      </c>
      <c r="E27" s="299" t="s">
        <v>165</v>
      </c>
      <c r="F27" s="8"/>
      <c r="G27" s="8">
        <f>2.2*2+3.1*2+4.62*2+3.78*2+5.62*2</f>
        <v>38.64</v>
      </c>
      <c r="H27" s="298"/>
      <c r="I27" s="4">
        <f>C27*G27</f>
        <v>88.973429999999993</v>
      </c>
      <c r="J27" s="4">
        <f>D27*G27</f>
        <v>68.441099999999992</v>
      </c>
    </row>
    <row r="28" spans="2:10" ht="15.75">
      <c r="B28" s="72" t="s">
        <v>430</v>
      </c>
      <c r="C28" s="8">
        <f>0.3*0.8*3.2*25*1.3*0.5</f>
        <v>12.48</v>
      </c>
      <c r="D28" s="8">
        <f>0.3*0.8*3.2*25*0.5</f>
        <v>9.6</v>
      </c>
      <c r="E28" s="299" t="s">
        <v>432</v>
      </c>
      <c r="F28" s="8"/>
      <c r="G28" s="298"/>
      <c r="H28" s="298">
        <v>30</v>
      </c>
      <c r="I28" s="4">
        <f>C28*H28</f>
        <v>374.40000000000003</v>
      </c>
      <c r="J28" s="4">
        <f>D28*H28</f>
        <v>288</v>
      </c>
    </row>
    <row r="29" spans="2:10" ht="15.75">
      <c r="B29" s="72" t="s">
        <v>431</v>
      </c>
      <c r="C29" s="8">
        <f>0.3*0.8*3.2*25*1.3*0.5</f>
        <v>12.48</v>
      </c>
      <c r="D29" s="8">
        <f>0.3*0.8*3.2*25*0.5</f>
        <v>9.6</v>
      </c>
      <c r="E29" s="299" t="s">
        <v>432</v>
      </c>
      <c r="F29" s="8"/>
      <c r="G29" s="298"/>
      <c r="H29" s="298">
        <v>30</v>
      </c>
      <c r="I29" s="4">
        <f>C29*H29</f>
        <v>374.40000000000003</v>
      </c>
      <c r="J29" s="4">
        <f>D29*H29</f>
        <v>288</v>
      </c>
    </row>
    <row r="30" spans="2:10" ht="15.75">
      <c r="B30" s="72" t="s">
        <v>427</v>
      </c>
      <c r="C30" s="8">
        <f>'3.Riepilogo carichi unitari'!$H$11</f>
        <v>7.8416000000000015</v>
      </c>
      <c r="D30" s="8">
        <f>'3.Riepilogo carichi unitari'!$J$11</f>
        <v>6.0320000000000009</v>
      </c>
      <c r="E30" s="299" t="s">
        <v>165</v>
      </c>
      <c r="F30" s="8"/>
      <c r="G30" s="298">
        <f>((17.2-(0.8*5))*2+(5.9)*4+(1.7)*4+(10.1-(0.8*2))*2)*0.5*0.9</f>
        <v>33.21</v>
      </c>
      <c r="H30" s="298"/>
      <c r="I30" s="4">
        <f>C30*G30</f>
        <v>260.41953600000005</v>
      </c>
      <c r="J30" s="4">
        <f>D30*G30</f>
        <v>200.32272000000003</v>
      </c>
    </row>
    <row r="31" spans="2:10" ht="15.75">
      <c r="B31" s="72" t="s">
        <v>436</v>
      </c>
      <c r="C31" s="8">
        <f>'3.Riepilogo carichi unitari'!$H$11</f>
        <v>7.8416000000000015</v>
      </c>
      <c r="D31" s="8">
        <f>'3.Riepilogo carichi unitari'!$J$11</f>
        <v>6.0320000000000009</v>
      </c>
      <c r="E31" s="299" t="s">
        <v>165</v>
      </c>
      <c r="F31" s="8"/>
      <c r="G31" s="298">
        <f>((17.2-(0.8*5))*2+(5.9)*4+(1.7)*4+(10.1-(0.8*2))*2)*0.5*0.9</f>
        <v>33.21</v>
      </c>
      <c r="H31" s="298"/>
      <c r="I31" s="4">
        <f t="shared" ref="I31:I33" si="8">C31*G31</f>
        <v>260.41953600000005</v>
      </c>
      <c r="J31" s="4">
        <f t="shared" ref="J31:J33" si="9">D31*G31</f>
        <v>200.32272000000003</v>
      </c>
    </row>
    <row r="32" spans="2:10" ht="15.75">
      <c r="B32" s="72" t="s">
        <v>428</v>
      </c>
      <c r="C32" s="8">
        <f>'3.Riepilogo carichi unitari'!$H$12</f>
        <v>3.7398400000000005</v>
      </c>
      <c r="D32" s="8">
        <f>'3.Riepilogo carichi unitari'!$J$12</f>
        <v>2.8768000000000002</v>
      </c>
      <c r="E32" s="299" t="s">
        <v>165</v>
      </c>
      <c r="F32" s="8"/>
      <c r="G32" s="298">
        <f>0.8*0.5*102.5</f>
        <v>41</v>
      </c>
      <c r="H32" s="298"/>
      <c r="I32" s="4">
        <f t="shared" si="8"/>
        <v>153.33344000000002</v>
      </c>
      <c r="J32" s="4">
        <f t="shared" si="9"/>
        <v>117.94880000000001</v>
      </c>
    </row>
    <row r="33" spans="2:10" ht="15.75">
      <c r="B33" s="72" t="s">
        <v>429</v>
      </c>
      <c r="C33" s="8">
        <f>'3.Riepilogo carichi unitari'!$H$12</f>
        <v>3.7398400000000005</v>
      </c>
      <c r="D33" s="8">
        <f>'3.Riepilogo carichi unitari'!$J$12</f>
        <v>2.8768000000000002</v>
      </c>
      <c r="E33" s="299" t="s">
        <v>165</v>
      </c>
      <c r="F33" s="8"/>
      <c r="G33" s="298">
        <f>0.8*0.5*102.5</f>
        <v>41</v>
      </c>
      <c r="H33" s="298"/>
      <c r="I33" s="4">
        <f t="shared" si="8"/>
        <v>153.33344000000002</v>
      </c>
      <c r="J33" s="4">
        <f t="shared" si="9"/>
        <v>117.94880000000001</v>
      </c>
    </row>
    <row r="34" spans="2:10" ht="15.75">
      <c r="B34" s="341"/>
      <c r="C34" s="341"/>
      <c r="D34" s="341"/>
      <c r="E34" s="341"/>
      <c r="F34" s="341"/>
      <c r="G34" s="489" t="s">
        <v>440</v>
      </c>
      <c r="H34" s="489"/>
      <c r="I34" s="8">
        <f>SUM(I22:I33)</f>
        <v>7571.4542585686331</v>
      </c>
      <c r="J34" s="8">
        <f>SUM(J22:J33)</f>
        <v>4865.6955835143326</v>
      </c>
    </row>
    <row r="35" spans="2:10" ht="15.75">
      <c r="B35" s="341"/>
      <c r="C35" s="341"/>
      <c r="D35" s="341"/>
      <c r="E35" s="341"/>
      <c r="F35" s="341"/>
      <c r="G35" s="489" t="s">
        <v>441</v>
      </c>
      <c r="H35" s="489"/>
      <c r="I35" s="8">
        <f>I34/9.81</f>
        <v>771.80981229038048</v>
      </c>
      <c r="J35" s="8">
        <f>J34/9.81</f>
        <v>495.99343358963631</v>
      </c>
    </row>
    <row r="36" spans="2:10">
      <c r="B36" s="341"/>
      <c r="C36" s="341"/>
      <c r="D36" s="341"/>
      <c r="E36" s="341"/>
      <c r="F36" s="341"/>
      <c r="G36" s="493" t="s">
        <v>442</v>
      </c>
      <c r="H36" s="493"/>
      <c r="I36" s="312">
        <f>I34/SUM(F22:F25)</f>
        <v>15.718194433399695</v>
      </c>
      <c r="J36" s="312">
        <f>J34/SUM(F22:F25)</f>
        <v>10.101091101337623</v>
      </c>
    </row>
    <row r="38" spans="2:10" ht="18.75">
      <c r="B38" s="490" t="s">
        <v>443</v>
      </c>
      <c r="C38" s="491"/>
      <c r="D38" s="491"/>
      <c r="E38" s="491"/>
      <c r="F38" s="491"/>
      <c r="G38" s="491"/>
      <c r="H38" s="491"/>
      <c r="I38" s="491"/>
      <c r="J38" s="492"/>
    </row>
    <row r="39" spans="2:10" ht="18.75">
      <c r="B39" s="304"/>
      <c r="C39" s="68" t="s">
        <v>159</v>
      </c>
      <c r="D39" s="68" t="s">
        <v>161</v>
      </c>
      <c r="E39" s="71" t="s">
        <v>164</v>
      </c>
      <c r="F39" s="68" t="s">
        <v>437</v>
      </c>
      <c r="G39" s="68" t="s">
        <v>438</v>
      </c>
      <c r="H39" s="68" t="s">
        <v>439</v>
      </c>
      <c r="I39" s="305" t="s">
        <v>433</v>
      </c>
      <c r="J39" s="306" t="s">
        <v>434</v>
      </c>
    </row>
    <row r="40" spans="2:10" ht="17.25">
      <c r="B40" s="72" t="s">
        <v>419</v>
      </c>
      <c r="C40" s="8">
        <f>'3.Riepilogo carichi unitari'!$H$4</f>
        <v>10.37895</v>
      </c>
      <c r="D40" s="8">
        <f>'3.Riepilogo carichi unitari'!$J$4</f>
        <v>6.0914999999999999</v>
      </c>
      <c r="E40" s="302" t="s">
        <v>41</v>
      </c>
      <c r="F40" s="8">
        <f>351.4-F43</f>
        <v>336.29999999999995</v>
      </c>
      <c r="G40" s="8"/>
      <c r="H40" s="8"/>
      <c r="I40" s="4">
        <f>C40*F40</f>
        <v>3490.4408849999995</v>
      </c>
      <c r="J40" s="4">
        <f>D40*F40</f>
        <v>2048.5714499999999</v>
      </c>
    </row>
    <row r="41" spans="2:10" ht="17.25">
      <c r="B41" s="72" t="s">
        <v>421</v>
      </c>
      <c r="C41" s="8">
        <f>'3.Riepilogo carichi unitari'!$H$6</f>
        <v>5.7049500000000011</v>
      </c>
      <c r="D41" s="8">
        <f>'3.Riepilogo carichi unitari'!$J$6</f>
        <v>3.8115000000000006</v>
      </c>
      <c r="E41" s="302" t="s">
        <v>41</v>
      </c>
      <c r="F41" s="8">
        <v>0</v>
      </c>
      <c r="G41" s="8"/>
      <c r="H41" s="8"/>
      <c r="I41" s="4">
        <f t="shared" ref="I41:I43" si="10">C41*F41</f>
        <v>0</v>
      </c>
      <c r="J41" s="4">
        <f t="shared" ref="J41:J43" si="11">D41*F41</f>
        <v>0</v>
      </c>
    </row>
    <row r="42" spans="2:10" ht="17.25">
      <c r="B42" s="72" t="s">
        <v>109</v>
      </c>
      <c r="C42" s="8">
        <f>'3.Riepilogo carichi unitari'!$H$7</f>
        <v>10.95495</v>
      </c>
      <c r="D42" s="8">
        <f>'3.Riepilogo carichi unitari'!$J$7</f>
        <v>6.2115000000000009</v>
      </c>
      <c r="E42" s="302" t="s">
        <v>41</v>
      </c>
      <c r="F42" s="8">
        <f>481.7-351.4</f>
        <v>130.30000000000001</v>
      </c>
      <c r="G42" s="301"/>
      <c r="H42" s="8"/>
      <c r="I42" s="4">
        <f t="shared" si="10"/>
        <v>1427.4299850000002</v>
      </c>
      <c r="J42" s="4">
        <f t="shared" si="11"/>
        <v>809.35845000000018</v>
      </c>
    </row>
    <row r="43" spans="2:10" ht="17.25">
      <c r="B43" s="72" t="s">
        <v>110</v>
      </c>
      <c r="C43" s="8">
        <f>'3.Riepilogo carichi unitari'!$H$8</f>
        <v>15.237165368783602</v>
      </c>
      <c r="D43" s="8">
        <f>'3.Riepilogo carichi unitari'!$J$8</f>
        <v>9.5055118221412318</v>
      </c>
      <c r="E43" s="302" t="s">
        <v>41</v>
      </c>
      <c r="F43" s="8">
        <v>15.1</v>
      </c>
      <c r="G43" s="301"/>
      <c r="H43" s="8"/>
      <c r="I43" s="4">
        <f t="shared" si="10"/>
        <v>230.08119706863238</v>
      </c>
      <c r="J43" s="4">
        <f t="shared" si="11"/>
        <v>143.53322851433259</v>
      </c>
    </row>
    <row r="44" spans="2:10" ht="15.75">
      <c r="B44" s="72" t="s">
        <v>445</v>
      </c>
      <c r="C44" s="8">
        <f>'3.Riepilogo carichi unitari'!$H$9</f>
        <v>5.184075</v>
      </c>
      <c r="D44" s="8">
        <f>'3.Riepilogo carichi unitari'!$J$9</f>
        <v>3.9877500000000001</v>
      </c>
      <c r="E44" s="302" t="s">
        <v>165</v>
      </c>
      <c r="F44" s="8"/>
      <c r="G44" s="8">
        <f>6.7*4+10.4*2+4.6*2+23.8+4.65*2+16.9*2+6.28*2+2.5*4</f>
        <v>146.26</v>
      </c>
      <c r="H44" s="301"/>
      <c r="I44" s="4">
        <f>C44*G44</f>
        <v>758.22280949999993</v>
      </c>
      <c r="J44" s="4">
        <f>D44*G44</f>
        <v>583.24831499999993</v>
      </c>
    </row>
    <row r="45" spans="2:10" ht="15.75">
      <c r="B45" s="72" t="s">
        <v>426</v>
      </c>
      <c r="C45" s="8">
        <f>'3.Riepilogo carichi unitari'!$H$10</f>
        <v>2.3026249999999999</v>
      </c>
      <c r="D45" s="8">
        <f>'3.Riepilogo carichi unitari'!$J$10</f>
        <v>1.7712499999999998</v>
      </c>
      <c r="E45" s="302" t="s">
        <v>165</v>
      </c>
      <c r="F45" s="8"/>
      <c r="G45" s="8">
        <f>2.2*2+3.1*2+4.62*2+3.78*2+5.62*2</f>
        <v>38.64</v>
      </c>
      <c r="H45" s="301"/>
      <c r="I45" s="4">
        <f>C45*G45</f>
        <v>88.973429999999993</v>
      </c>
      <c r="J45" s="4">
        <f>D45*G45</f>
        <v>68.441099999999992</v>
      </c>
    </row>
    <row r="46" spans="2:10" ht="15.75">
      <c r="B46" s="72" t="s">
        <v>444</v>
      </c>
      <c r="C46" s="8">
        <f>0.3*0.7*3.2*25*1.3*0.5</f>
        <v>10.920000000000002</v>
      </c>
      <c r="D46" s="8">
        <f>0.3*0.7*3.2*25*0.5</f>
        <v>8.4</v>
      </c>
      <c r="E46" s="302" t="s">
        <v>432</v>
      </c>
      <c r="F46" s="8"/>
      <c r="G46" s="301"/>
      <c r="H46" s="301">
        <v>30</v>
      </c>
      <c r="I46" s="4">
        <f>C46*H46</f>
        <v>327.60000000000002</v>
      </c>
      <c r="J46" s="4">
        <f>D46*H46</f>
        <v>252</v>
      </c>
    </row>
    <row r="47" spans="2:10" ht="15.75">
      <c r="B47" s="72" t="s">
        <v>431</v>
      </c>
      <c r="C47" s="8">
        <f>0.3*0.8*3.2*25*1.3*0.5</f>
        <v>12.48</v>
      </c>
      <c r="D47" s="8">
        <f>0.3*0.8*3.2*25*0.5</f>
        <v>9.6</v>
      </c>
      <c r="E47" s="302" t="s">
        <v>432</v>
      </c>
      <c r="F47" s="8"/>
      <c r="G47" s="301"/>
      <c r="H47" s="301">
        <v>30</v>
      </c>
      <c r="I47" s="4">
        <f>C47*H47</f>
        <v>374.40000000000003</v>
      </c>
      <c r="J47" s="4">
        <f>D47*H47</f>
        <v>288</v>
      </c>
    </row>
    <row r="48" spans="2:10" ht="15.75">
      <c r="B48" s="72" t="s">
        <v>427</v>
      </c>
      <c r="C48" s="8">
        <f>'3.Riepilogo carichi unitari'!$H$11</f>
        <v>7.8416000000000015</v>
      </c>
      <c r="D48" s="8">
        <f>'3.Riepilogo carichi unitari'!$J$11</f>
        <v>6.0320000000000009</v>
      </c>
      <c r="E48" s="302" t="s">
        <v>165</v>
      </c>
      <c r="F48" s="8"/>
      <c r="G48" s="301">
        <f>((17.2-(0.8*5))*2+(5.9)*4+(1.7)*4+(10.1-(0.8*2))*2)*0.5*0.9</f>
        <v>33.21</v>
      </c>
      <c r="H48" s="301"/>
      <c r="I48" s="4">
        <f>C48*G48</f>
        <v>260.41953600000005</v>
      </c>
      <c r="J48" s="4">
        <f>D48*G48</f>
        <v>200.32272000000003</v>
      </c>
    </row>
    <row r="49" spans="2:10" ht="15.75">
      <c r="B49" s="72" t="s">
        <v>436</v>
      </c>
      <c r="C49" s="8">
        <f>'3.Riepilogo carichi unitari'!$H$11</f>
        <v>7.8416000000000015</v>
      </c>
      <c r="D49" s="8">
        <f>'3.Riepilogo carichi unitari'!$J$11</f>
        <v>6.0320000000000009</v>
      </c>
      <c r="E49" s="302" t="s">
        <v>165</v>
      </c>
      <c r="F49" s="8"/>
      <c r="G49" s="301">
        <f>((17.2-(0.8*5))*2+(5.9)*4+(1.7)*4+(10.1-(0.8*2))*2)*0.5*0.9</f>
        <v>33.21</v>
      </c>
      <c r="H49" s="301"/>
      <c r="I49" s="4">
        <f t="shared" ref="I49:I51" si="12">C49*G49</f>
        <v>260.41953600000005</v>
      </c>
      <c r="J49" s="4">
        <f t="shared" ref="J49:J51" si="13">D49*G49</f>
        <v>200.32272000000003</v>
      </c>
    </row>
    <row r="50" spans="2:10" ht="15.75">
      <c r="B50" s="72" t="s">
        <v>428</v>
      </c>
      <c r="C50" s="8">
        <f>'3.Riepilogo carichi unitari'!$H$12</f>
        <v>3.7398400000000005</v>
      </c>
      <c r="D50" s="8">
        <f>'3.Riepilogo carichi unitari'!$J$12</f>
        <v>2.8768000000000002</v>
      </c>
      <c r="E50" s="302" t="s">
        <v>165</v>
      </c>
      <c r="F50" s="8"/>
      <c r="G50" s="301">
        <f>0.8*0.5*102.5</f>
        <v>41</v>
      </c>
      <c r="H50" s="301"/>
      <c r="I50" s="4">
        <f t="shared" si="12"/>
        <v>153.33344000000002</v>
      </c>
      <c r="J50" s="4">
        <f t="shared" si="13"/>
        <v>117.94880000000001</v>
      </c>
    </row>
    <row r="51" spans="2:10" ht="15.75">
      <c r="B51" s="72" t="s">
        <v>429</v>
      </c>
      <c r="C51" s="8">
        <f>'3.Riepilogo carichi unitari'!$H$12</f>
        <v>3.7398400000000005</v>
      </c>
      <c r="D51" s="8">
        <f>'3.Riepilogo carichi unitari'!$J$12</f>
        <v>2.8768000000000002</v>
      </c>
      <c r="E51" s="302" t="s">
        <v>165</v>
      </c>
      <c r="F51" s="8"/>
      <c r="G51" s="301">
        <f>0.8*0.5*102.5</f>
        <v>41</v>
      </c>
      <c r="H51" s="301"/>
      <c r="I51" s="4">
        <f t="shared" si="12"/>
        <v>153.33344000000002</v>
      </c>
      <c r="J51" s="4">
        <f t="shared" si="13"/>
        <v>117.94880000000001</v>
      </c>
    </row>
    <row r="52" spans="2:10" ht="15.75">
      <c r="B52" s="341"/>
      <c r="C52" s="341"/>
      <c r="D52" s="341"/>
      <c r="E52" s="341"/>
      <c r="F52" s="341"/>
      <c r="G52" s="489" t="s">
        <v>440</v>
      </c>
      <c r="H52" s="489"/>
      <c r="I52" s="8">
        <f>SUM(I40:I51)</f>
        <v>7524.6542585686338</v>
      </c>
      <c r="J52" s="8">
        <f>SUM(J40:J51)</f>
        <v>4829.6955835143326</v>
      </c>
    </row>
    <row r="53" spans="2:10" ht="15.75">
      <c r="B53" s="341"/>
      <c r="C53" s="341"/>
      <c r="D53" s="341"/>
      <c r="E53" s="341"/>
      <c r="F53" s="341"/>
      <c r="G53" s="489" t="s">
        <v>441</v>
      </c>
      <c r="H53" s="489"/>
      <c r="I53" s="8">
        <f>I52/9.81</f>
        <v>767.03917008854569</v>
      </c>
      <c r="J53" s="8">
        <f>J52/9.81</f>
        <v>492.32370881899413</v>
      </c>
    </row>
    <row r="54" spans="2:10">
      <c r="B54" s="341"/>
      <c r="C54" s="341"/>
      <c r="D54" s="341"/>
      <c r="E54" s="341"/>
      <c r="F54" s="341"/>
      <c r="G54" s="493" t="s">
        <v>442</v>
      </c>
      <c r="H54" s="493"/>
      <c r="I54" s="312">
        <f>I52/SUM(F40:F43)</f>
        <v>15.621038527234033</v>
      </c>
      <c r="J54" s="312">
        <f>J52/SUM(F40:F43)</f>
        <v>10.026355788902498</v>
      </c>
    </row>
    <row r="56" spans="2:10" ht="18.75">
      <c r="B56" s="490" t="s">
        <v>446</v>
      </c>
      <c r="C56" s="491"/>
      <c r="D56" s="491"/>
      <c r="E56" s="491"/>
      <c r="F56" s="491"/>
      <c r="G56" s="491"/>
      <c r="H56" s="491"/>
      <c r="I56" s="491"/>
      <c r="J56" s="492"/>
    </row>
    <row r="57" spans="2:10" ht="18.75">
      <c r="B57" s="304"/>
      <c r="C57" s="68" t="s">
        <v>159</v>
      </c>
      <c r="D57" s="68" t="s">
        <v>161</v>
      </c>
      <c r="E57" s="71" t="s">
        <v>164</v>
      </c>
      <c r="F57" s="68" t="s">
        <v>437</v>
      </c>
      <c r="G57" s="68" t="s">
        <v>438</v>
      </c>
      <c r="H57" s="68" t="s">
        <v>439</v>
      </c>
      <c r="I57" s="305" t="s">
        <v>433</v>
      </c>
      <c r="J57" s="306" t="s">
        <v>434</v>
      </c>
    </row>
    <row r="58" spans="2:10" ht="17.25">
      <c r="B58" s="72" t="s">
        <v>419</v>
      </c>
      <c r="C58" s="8">
        <f>'3.Riepilogo carichi unitari'!$H$4</f>
        <v>10.37895</v>
      </c>
      <c r="D58" s="8">
        <f>'3.Riepilogo carichi unitari'!$J$4</f>
        <v>6.0914999999999999</v>
      </c>
      <c r="E58" s="302" t="s">
        <v>41</v>
      </c>
      <c r="F58" s="8">
        <f>351.4-F61</f>
        <v>336.29999999999995</v>
      </c>
      <c r="G58" s="8"/>
      <c r="H58" s="8"/>
      <c r="I58" s="4">
        <f>C58*F58</f>
        <v>3490.4408849999995</v>
      </c>
      <c r="J58" s="4">
        <f>D58*F58</f>
        <v>2048.5714499999999</v>
      </c>
    </row>
    <row r="59" spans="2:10" ht="17.25">
      <c r="B59" s="72" t="s">
        <v>421</v>
      </c>
      <c r="C59" s="8">
        <f>'3.Riepilogo carichi unitari'!$H$6</f>
        <v>5.7049500000000011</v>
      </c>
      <c r="D59" s="8">
        <f>'3.Riepilogo carichi unitari'!$J$6</f>
        <v>3.8115000000000006</v>
      </c>
      <c r="E59" s="302" t="s">
        <v>41</v>
      </c>
      <c r="F59" s="8">
        <v>0</v>
      </c>
      <c r="G59" s="8"/>
      <c r="H59" s="8"/>
      <c r="I59" s="4">
        <f t="shared" ref="I59:I61" si="14">C59*F59</f>
        <v>0</v>
      </c>
      <c r="J59" s="4">
        <f t="shared" ref="J59:J61" si="15">D59*F59</f>
        <v>0</v>
      </c>
    </row>
    <row r="60" spans="2:10" ht="17.25">
      <c r="B60" s="72" t="s">
        <v>109</v>
      </c>
      <c r="C60" s="8">
        <f>'3.Riepilogo carichi unitari'!$H$7</f>
        <v>10.95495</v>
      </c>
      <c r="D60" s="8">
        <f>'3.Riepilogo carichi unitari'!$J$7</f>
        <v>6.2115000000000009</v>
      </c>
      <c r="E60" s="302" t="s">
        <v>41</v>
      </c>
      <c r="F60" s="8">
        <f>481.7-351.4</f>
        <v>130.30000000000001</v>
      </c>
      <c r="G60" s="301"/>
      <c r="H60" s="8"/>
      <c r="I60" s="4">
        <f t="shared" si="14"/>
        <v>1427.4299850000002</v>
      </c>
      <c r="J60" s="4">
        <f t="shared" si="15"/>
        <v>809.35845000000018</v>
      </c>
    </row>
    <row r="61" spans="2:10" ht="17.25">
      <c r="B61" s="72" t="s">
        <v>110</v>
      </c>
      <c r="C61" s="8">
        <f>'3.Riepilogo carichi unitari'!$H$8</f>
        <v>15.237165368783602</v>
      </c>
      <c r="D61" s="8">
        <f>'3.Riepilogo carichi unitari'!$J$8</f>
        <v>9.5055118221412318</v>
      </c>
      <c r="E61" s="302" t="s">
        <v>41</v>
      </c>
      <c r="F61" s="8">
        <v>15.1</v>
      </c>
      <c r="G61" s="301"/>
      <c r="H61" s="8"/>
      <c r="I61" s="4">
        <f t="shared" si="14"/>
        <v>230.08119706863238</v>
      </c>
      <c r="J61" s="4">
        <f t="shared" si="15"/>
        <v>143.53322851433259</v>
      </c>
    </row>
    <row r="62" spans="2:10" ht="15.75">
      <c r="B62" s="72" t="s">
        <v>445</v>
      </c>
      <c r="C62" s="8">
        <f>'3.Riepilogo carichi unitari'!$H$9</f>
        <v>5.184075</v>
      </c>
      <c r="D62" s="8">
        <f>'3.Riepilogo carichi unitari'!$J$9</f>
        <v>3.9877500000000001</v>
      </c>
      <c r="E62" s="302" t="s">
        <v>165</v>
      </c>
      <c r="F62" s="8"/>
      <c r="G62" s="8">
        <f>6.7*4+10.4*2+4.6*2+23.8+4.65*2+16.9*2+6.28*2+2.5*4</f>
        <v>146.26</v>
      </c>
      <c r="H62" s="301"/>
      <c r="I62" s="4">
        <f>C62*G62</f>
        <v>758.22280949999993</v>
      </c>
      <c r="J62" s="4">
        <f>D62*G62</f>
        <v>583.24831499999993</v>
      </c>
    </row>
    <row r="63" spans="2:10" ht="15.75">
      <c r="B63" s="72" t="s">
        <v>426</v>
      </c>
      <c r="C63" s="8">
        <f>'3.Riepilogo carichi unitari'!$H$10</f>
        <v>2.3026249999999999</v>
      </c>
      <c r="D63" s="8">
        <f>'3.Riepilogo carichi unitari'!$J$10</f>
        <v>1.7712499999999998</v>
      </c>
      <c r="E63" s="302" t="s">
        <v>165</v>
      </c>
      <c r="F63" s="8"/>
      <c r="G63" s="8">
        <f>2.2*2+3.1*2+4.62*2+3.78*2+5.62*2</f>
        <v>38.64</v>
      </c>
      <c r="H63" s="301"/>
      <c r="I63" s="4">
        <f>C63*G63</f>
        <v>88.973429999999993</v>
      </c>
      <c r="J63" s="4">
        <f>D63*G63</f>
        <v>68.441099999999992</v>
      </c>
    </row>
    <row r="64" spans="2:10" ht="15.75">
      <c r="B64" s="72" t="s">
        <v>444</v>
      </c>
      <c r="C64" s="8">
        <f>0.3*0.7*3.2*25*1.3*0.5</f>
        <v>10.920000000000002</v>
      </c>
      <c r="D64" s="8">
        <f>0.3*0.7*3.2*25*0.5</f>
        <v>8.4</v>
      </c>
      <c r="E64" s="302" t="s">
        <v>432</v>
      </c>
      <c r="F64" s="8"/>
      <c r="G64" s="301"/>
      <c r="H64" s="301">
        <v>30</v>
      </c>
      <c r="I64" s="4">
        <f>C64*H64</f>
        <v>327.60000000000002</v>
      </c>
      <c r="J64" s="4">
        <f>D64*H64</f>
        <v>252</v>
      </c>
    </row>
    <row r="65" spans="2:10" ht="15.75">
      <c r="B65" s="72" t="s">
        <v>447</v>
      </c>
      <c r="C65" s="8">
        <f>0.3*0.7*3.2*25*1.3*0.5</f>
        <v>10.920000000000002</v>
      </c>
      <c r="D65" s="8">
        <f>0.3*0.7*3.2*25*0.5</f>
        <v>8.4</v>
      </c>
      <c r="E65" s="302" t="s">
        <v>432</v>
      </c>
      <c r="F65" s="8"/>
      <c r="G65" s="301"/>
      <c r="H65" s="301">
        <v>30</v>
      </c>
      <c r="I65" s="4">
        <f>C65*H65</f>
        <v>327.60000000000002</v>
      </c>
      <c r="J65" s="4">
        <f>D65*H65</f>
        <v>252</v>
      </c>
    </row>
    <row r="66" spans="2:10" ht="15.75">
      <c r="B66" s="72" t="s">
        <v>427</v>
      </c>
      <c r="C66" s="8">
        <f>'3.Riepilogo carichi unitari'!$H$11</f>
        <v>7.8416000000000015</v>
      </c>
      <c r="D66" s="8">
        <f>'3.Riepilogo carichi unitari'!$J$11</f>
        <v>6.0320000000000009</v>
      </c>
      <c r="E66" s="302" t="s">
        <v>165</v>
      </c>
      <c r="F66" s="8"/>
      <c r="G66" s="301">
        <f>((17.2-(0.8*5))*2+(5.9)*4+(1.7)*4+(10.1-(0.8*2))*2)*0.5*0.9</f>
        <v>33.21</v>
      </c>
      <c r="H66" s="301"/>
      <c r="I66" s="4">
        <f>C66*G66</f>
        <v>260.41953600000005</v>
      </c>
      <c r="J66" s="4">
        <f>D66*G66</f>
        <v>200.32272000000003</v>
      </c>
    </row>
    <row r="67" spans="2:10" ht="15.75">
      <c r="B67" s="72" t="s">
        <v>436</v>
      </c>
      <c r="C67" s="8">
        <f>'3.Riepilogo carichi unitari'!$H$11</f>
        <v>7.8416000000000015</v>
      </c>
      <c r="D67" s="8">
        <f>'3.Riepilogo carichi unitari'!$J$11</f>
        <v>6.0320000000000009</v>
      </c>
      <c r="E67" s="302" t="s">
        <v>165</v>
      </c>
      <c r="F67" s="8"/>
      <c r="G67" s="301">
        <f>((17.2-(0.8*5))*2+(5.9)*4+(1.7)*4+(10.1-(0.8*2))*2)*0.5*0.9</f>
        <v>33.21</v>
      </c>
      <c r="H67" s="301"/>
      <c r="I67" s="4">
        <f t="shared" ref="I67:I69" si="16">C67*G67</f>
        <v>260.41953600000005</v>
      </c>
      <c r="J67" s="4">
        <f t="shared" ref="J67:J69" si="17">D67*G67</f>
        <v>200.32272000000003</v>
      </c>
    </row>
    <row r="68" spans="2:10" ht="15.75">
      <c r="B68" s="72" t="s">
        <v>428</v>
      </c>
      <c r="C68" s="8">
        <f>'3.Riepilogo carichi unitari'!$H$12</f>
        <v>3.7398400000000005</v>
      </c>
      <c r="D68" s="8">
        <f>'3.Riepilogo carichi unitari'!$J$12</f>
        <v>2.8768000000000002</v>
      </c>
      <c r="E68" s="302" t="s">
        <v>165</v>
      </c>
      <c r="F68" s="8"/>
      <c r="G68" s="301">
        <f>0.8*0.5*102.5</f>
        <v>41</v>
      </c>
      <c r="H68" s="301"/>
      <c r="I68" s="4">
        <f t="shared" si="16"/>
        <v>153.33344000000002</v>
      </c>
      <c r="J68" s="4">
        <f t="shared" si="17"/>
        <v>117.94880000000001</v>
      </c>
    </row>
    <row r="69" spans="2:10" ht="15.75">
      <c r="B69" s="72" t="s">
        <v>429</v>
      </c>
      <c r="C69" s="8">
        <f>'3.Riepilogo carichi unitari'!$H$12</f>
        <v>3.7398400000000005</v>
      </c>
      <c r="D69" s="8">
        <f>'3.Riepilogo carichi unitari'!$J$12</f>
        <v>2.8768000000000002</v>
      </c>
      <c r="E69" s="302" t="s">
        <v>165</v>
      </c>
      <c r="F69" s="8"/>
      <c r="G69" s="301">
        <f>0.8*0.5*102.5</f>
        <v>41</v>
      </c>
      <c r="H69" s="301"/>
      <c r="I69" s="4">
        <f t="shared" si="16"/>
        <v>153.33344000000002</v>
      </c>
      <c r="J69" s="4">
        <f t="shared" si="17"/>
        <v>117.94880000000001</v>
      </c>
    </row>
    <row r="70" spans="2:10" ht="15.75">
      <c r="B70" s="341"/>
      <c r="C70" s="341"/>
      <c r="D70" s="341"/>
      <c r="E70" s="341"/>
      <c r="F70" s="341"/>
      <c r="G70" s="489" t="s">
        <v>440</v>
      </c>
      <c r="H70" s="489"/>
      <c r="I70" s="8">
        <f>SUM(I58:I69)</f>
        <v>7477.8542585686346</v>
      </c>
      <c r="J70" s="8">
        <f>SUM(J58:J69)</f>
        <v>4793.6955835143326</v>
      </c>
    </row>
    <row r="71" spans="2:10" ht="15.75">
      <c r="B71" s="341"/>
      <c r="C71" s="341"/>
      <c r="D71" s="341"/>
      <c r="E71" s="341"/>
      <c r="F71" s="341"/>
      <c r="G71" s="489" t="s">
        <v>441</v>
      </c>
      <c r="H71" s="489"/>
      <c r="I71" s="8">
        <f>I70/9.81</f>
        <v>762.2685278867109</v>
      </c>
      <c r="J71" s="8">
        <f>J70/9.81</f>
        <v>488.6539840483519</v>
      </c>
    </row>
    <row r="72" spans="2:10">
      <c r="B72" s="341"/>
      <c r="C72" s="341"/>
      <c r="D72" s="341"/>
      <c r="E72" s="341"/>
      <c r="F72" s="341"/>
      <c r="G72" s="493" t="s">
        <v>442</v>
      </c>
      <c r="H72" s="493"/>
      <c r="I72" s="312">
        <f>I70/SUM(F58:F61)</f>
        <v>15.523882621068372</v>
      </c>
      <c r="J72" s="312">
        <f>J70/SUM(F58:F61)</f>
        <v>9.9516204764673706</v>
      </c>
    </row>
    <row r="74" spans="2:10" ht="18.75">
      <c r="B74" s="490" t="s">
        <v>448</v>
      </c>
      <c r="C74" s="491"/>
      <c r="D74" s="491"/>
      <c r="E74" s="491"/>
      <c r="F74" s="491"/>
      <c r="G74" s="491"/>
      <c r="H74" s="491"/>
      <c r="I74" s="491"/>
      <c r="J74" s="492"/>
    </row>
    <row r="75" spans="2:10" ht="18.75">
      <c r="B75" s="304"/>
      <c r="C75" s="68" t="s">
        <v>159</v>
      </c>
      <c r="D75" s="68" t="s">
        <v>161</v>
      </c>
      <c r="E75" s="71" t="s">
        <v>164</v>
      </c>
      <c r="F75" s="68" t="s">
        <v>437</v>
      </c>
      <c r="G75" s="68" t="s">
        <v>438</v>
      </c>
      <c r="H75" s="68" t="s">
        <v>439</v>
      </c>
      <c r="I75" s="305" t="s">
        <v>433</v>
      </c>
      <c r="J75" s="306" t="s">
        <v>434</v>
      </c>
    </row>
    <row r="76" spans="2:10" ht="17.25">
      <c r="B76" s="72" t="s">
        <v>450</v>
      </c>
      <c r="C76" s="8">
        <f>'3.Riepilogo carichi unitari'!$H$5</f>
        <v>7.9549500000000011</v>
      </c>
      <c r="D76" s="8">
        <f>'3.Riepilogo carichi unitari'!$J$5</f>
        <v>4.4115000000000002</v>
      </c>
      <c r="E76" s="302" t="s">
        <v>41</v>
      </c>
      <c r="F76" s="8">
        <f>351.4-F79</f>
        <v>336.29999999999995</v>
      </c>
      <c r="G76" s="8"/>
      <c r="H76" s="8"/>
      <c r="I76" s="4">
        <f>C76*F76</f>
        <v>2675.2496850000002</v>
      </c>
      <c r="J76" s="4">
        <f>D76*F76</f>
        <v>1483.5874499999998</v>
      </c>
    </row>
    <row r="77" spans="2:10" ht="17.25">
      <c r="B77" s="72" t="s">
        <v>421</v>
      </c>
      <c r="C77" s="8">
        <f>'3.Riepilogo carichi unitari'!$H$6</f>
        <v>5.7049500000000011</v>
      </c>
      <c r="D77" s="8">
        <f>'3.Riepilogo carichi unitari'!$J$6</f>
        <v>3.8115000000000006</v>
      </c>
      <c r="E77" s="302" t="s">
        <v>41</v>
      </c>
      <c r="F77" s="8">
        <v>0</v>
      </c>
      <c r="G77" s="8"/>
      <c r="H77" s="8"/>
      <c r="I77" s="4">
        <f t="shared" ref="I77:I79" si="18">C77*F77</f>
        <v>0</v>
      </c>
      <c r="J77" s="4">
        <f t="shared" ref="J77:J79" si="19">D77*F77</f>
        <v>0</v>
      </c>
    </row>
    <row r="78" spans="2:10" ht="17.25">
      <c r="B78" s="72" t="s">
        <v>109</v>
      </c>
      <c r="C78" s="8">
        <f>'3.Riepilogo carichi unitari'!$H$7</f>
        <v>10.95495</v>
      </c>
      <c r="D78" s="8">
        <f>'3.Riepilogo carichi unitari'!$J$7</f>
        <v>6.2115000000000009</v>
      </c>
      <c r="E78" s="302" t="s">
        <v>41</v>
      </c>
      <c r="F78" s="8">
        <f>481.7-351.4</f>
        <v>130.30000000000001</v>
      </c>
      <c r="G78" s="301"/>
      <c r="H78" s="8"/>
      <c r="I78" s="4">
        <f t="shared" si="18"/>
        <v>1427.4299850000002</v>
      </c>
      <c r="J78" s="4">
        <f t="shared" si="19"/>
        <v>809.35845000000018</v>
      </c>
    </row>
    <row r="79" spans="2:10" ht="17.25">
      <c r="B79" s="72" t="s">
        <v>110</v>
      </c>
      <c r="C79" s="8">
        <f>'3.Riepilogo carichi unitari'!$H$8</f>
        <v>15.237165368783602</v>
      </c>
      <c r="D79" s="8">
        <f>'3.Riepilogo carichi unitari'!$J$8</f>
        <v>9.5055118221412318</v>
      </c>
      <c r="E79" s="302" t="s">
        <v>41</v>
      </c>
      <c r="F79" s="8">
        <v>15.1</v>
      </c>
      <c r="G79" s="301"/>
      <c r="H79" s="8"/>
      <c r="I79" s="4">
        <f t="shared" si="18"/>
        <v>230.08119706863238</v>
      </c>
      <c r="J79" s="4">
        <f t="shared" si="19"/>
        <v>143.53322851433259</v>
      </c>
    </row>
    <row r="80" spans="2:10" ht="15.75">
      <c r="B80" s="72" t="s">
        <v>445</v>
      </c>
      <c r="C80" s="8">
        <f>'3.Riepilogo carichi unitari'!$H$9</f>
        <v>5.184075</v>
      </c>
      <c r="D80" s="8">
        <f>'3.Riepilogo carichi unitari'!$J$9</f>
        <v>3.9877500000000001</v>
      </c>
      <c r="E80" s="302" t="s">
        <v>165</v>
      </c>
      <c r="F80" s="8"/>
      <c r="G80" s="8">
        <f>6.7*4+10.4*2+4.6*2+23.8+4.65*2+16.9*2+6.28*2+2.5*4</f>
        <v>146.26</v>
      </c>
      <c r="H80" s="301"/>
      <c r="I80" s="4">
        <f>C80*G80</f>
        <v>758.22280949999993</v>
      </c>
      <c r="J80" s="4">
        <f>D80*G80</f>
        <v>583.24831499999993</v>
      </c>
    </row>
    <row r="81" spans="2:10" ht="15.75">
      <c r="B81" s="72" t="s">
        <v>426</v>
      </c>
      <c r="C81" s="8">
        <f>'3.Riepilogo carichi unitari'!$H$10</f>
        <v>2.3026249999999999</v>
      </c>
      <c r="D81" s="8">
        <f>'3.Riepilogo carichi unitari'!$J$10</f>
        <v>1.7712499999999998</v>
      </c>
      <c r="E81" s="302" t="s">
        <v>165</v>
      </c>
      <c r="F81" s="8"/>
      <c r="G81" s="8">
        <f>2.2*2+3.1*2+4.62*2+3.78*2+5.62*2</f>
        <v>38.64</v>
      </c>
      <c r="H81" s="301"/>
      <c r="I81" s="4">
        <f>C81*G81</f>
        <v>88.973429999999993</v>
      </c>
      <c r="J81" s="4">
        <f>D81*G81</f>
        <v>68.441099999999992</v>
      </c>
    </row>
    <row r="82" spans="2:10" ht="15.75">
      <c r="B82" s="72" t="s">
        <v>444</v>
      </c>
      <c r="C82" s="8">
        <f>0.3*0.7*3.2*25*1.3*0.5</f>
        <v>10.920000000000002</v>
      </c>
      <c r="D82" s="8">
        <f>0.3*0.7*3.2*25*0.5</f>
        <v>8.4</v>
      </c>
      <c r="E82" s="302" t="s">
        <v>432</v>
      </c>
      <c r="F82" s="8"/>
      <c r="G82" s="301"/>
      <c r="H82" s="301">
        <v>6</v>
      </c>
      <c r="I82" s="4">
        <f>C82*H82</f>
        <v>65.52000000000001</v>
      </c>
      <c r="J82" s="4">
        <f>D82*H82</f>
        <v>50.400000000000006</v>
      </c>
    </row>
    <row r="83" spans="2:10" ht="15.75">
      <c r="B83" s="72" t="s">
        <v>447</v>
      </c>
      <c r="C83" s="8">
        <f>0.3*0.7*3.2*25*1.3*0.5</f>
        <v>10.920000000000002</v>
      </c>
      <c r="D83" s="8">
        <f>0.3*0.7*3.2*25*0.5</f>
        <v>8.4</v>
      </c>
      <c r="E83" s="302" t="s">
        <v>432</v>
      </c>
      <c r="F83" s="8"/>
      <c r="G83" s="301"/>
      <c r="H83" s="301">
        <v>30</v>
      </c>
      <c r="I83" s="4">
        <f>C83*H83</f>
        <v>327.60000000000002</v>
      </c>
      <c r="J83" s="4">
        <f>D83*H83</f>
        <v>252</v>
      </c>
    </row>
    <row r="84" spans="2:10" ht="15.75">
      <c r="B84" s="72" t="s">
        <v>427</v>
      </c>
      <c r="C84" s="8">
        <f>'3.Riepilogo carichi unitari'!$H$11</f>
        <v>7.8416000000000015</v>
      </c>
      <c r="D84" s="8">
        <f>'3.Riepilogo carichi unitari'!$J$11</f>
        <v>6.0320000000000009</v>
      </c>
      <c r="E84" s="302" t="s">
        <v>165</v>
      </c>
      <c r="F84" s="8"/>
      <c r="G84" s="301">
        <f>5.68*2+5.32+2.2*2+3.7+1.6*3</f>
        <v>29.58</v>
      </c>
      <c r="H84" s="301"/>
      <c r="I84" s="4">
        <f>C84*G84</f>
        <v>231.95452800000004</v>
      </c>
      <c r="J84" s="4">
        <f>D84*G84</f>
        <v>178.42656000000002</v>
      </c>
    </row>
    <row r="85" spans="2:10" ht="15.75">
      <c r="B85" s="72" t="s">
        <v>436</v>
      </c>
      <c r="C85" s="8">
        <f>'3.Riepilogo carichi unitari'!$H$11</f>
        <v>7.8416000000000015</v>
      </c>
      <c r="D85" s="8">
        <f>'3.Riepilogo carichi unitari'!$J$11</f>
        <v>6.0320000000000009</v>
      </c>
      <c r="E85" s="302" t="s">
        <v>165</v>
      </c>
      <c r="F85" s="8"/>
      <c r="G85" s="301">
        <f>((17.2-(0.8*5))*2+(5.9)*4+(1.7)*4+(10.1-(0.8*2))*2)*0.5*0.9</f>
        <v>33.21</v>
      </c>
      <c r="H85" s="301"/>
      <c r="I85" s="4">
        <f t="shared" ref="I85:I87" si="20">C85*G85</f>
        <v>260.41953600000005</v>
      </c>
      <c r="J85" s="4">
        <f t="shared" ref="J85:J87" si="21">D85*G85</f>
        <v>200.32272000000003</v>
      </c>
    </row>
    <row r="86" spans="2:10" ht="15.75">
      <c r="B86" s="72" t="s">
        <v>428</v>
      </c>
      <c r="C86" s="8">
        <f>'3.Riepilogo carichi unitari'!$H$12</f>
        <v>3.7398400000000005</v>
      </c>
      <c r="D86" s="8">
        <f>'3.Riepilogo carichi unitari'!$J$12</f>
        <v>2.8768000000000002</v>
      </c>
      <c r="E86" s="302" t="s">
        <v>165</v>
      </c>
      <c r="F86" s="8"/>
      <c r="G86" s="301">
        <v>0</v>
      </c>
      <c r="H86" s="301"/>
      <c r="I86" s="4">
        <f t="shared" si="20"/>
        <v>0</v>
      </c>
      <c r="J86" s="4">
        <f t="shared" si="21"/>
        <v>0</v>
      </c>
    </row>
    <row r="87" spans="2:10" ht="15.75">
      <c r="B87" s="72" t="s">
        <v>429</v>
      </c>
      <c r="C87" s="8">
        <f>'3.Riepilogo carichi unitari'!$H$12</f>
        <v>3.7398400000000005</v>
      </c>
      <c r="D87" s="8">
        <f>'3.Riepilogo carichi unitari'!$J$12</f>
        <v>2.8768000000000002</v>
      </c>
      <c r="E87" s="302" t="s">
        <v>165</v>
      </c>
      <c r="F87" s="8"/>
      <c r="G87" s="301">
        <f>0.8*0.5*102.5</f>
        <v>41</v>
      </c>
      <c r="H87" s="301"/>
      <c r="I87" s="4">
        <f t="shared" si="20"/>
        <v>153.33344000000002</v>
      </c>
      <c r="J87" s="4">
        <f t="shared" si="21"/>
        <v>117.94880000000001</v>
      </c>
    </row>
    <row r="88" spans="2:10" ht="15.75">
      <c r="B88" s="341"/>
      <c r="C88" s="341"/>
      <c r="D88" s="341"/>
      <c r="E88" s="341"/>
      <c r="F88" s="341"/>
      <c r="G88" s="489" t="s">
        <v>440</v>
      </c>
      <c r="H88" s="489"/>
      <c r="I88" s="8">
        <f>SUM(I76:I87)</f>
        <v>6218.7846105686349</v>
      </c>
      <c r="J88" s="8">
        <f>SUM(J76:J87)</f>
        <v>3887.2666235143324</v>
      </c>
    </row>
    <row r="89" spans="2:10" ht="15.75">
      <c r="B89" s="341"/>
      <c r="C89" s="341"/>
      <c r="D89" s="341"/>
      <c r="E89" s="341"/>
      <c r="F89" s="341"/>
      <c r="G89" s="489" t="s">
        <v>441</v>
      </c>
      <c r="H89" s="489"/>
      <c r="I89" s="8">
        <f>I88/9.81</f>
        <v>633.92299801922877</v>
      </c>
      <c r="J89" s="8">
        <f>J88/9.81</f>
        <v>396.25551717781167</v>
      </c>
    </row>
    <row r="90" spans="2:10">
      <c r="B90" s="341"/>
      <c r="C90" s="341"/>
      <c r="D90" s="341"/>
      <c r="E90" s="341"/>
      <c r="F90" s="341"/>
      <c r="G90" s="493" t="s">
        <v>442</v>
      </c>
      <c r="H90" s="493"/>
      <c r="I90" s="312">
        <f>I88/SUM(F76:F79)</f>
        <v>12.910078078822162</v>
      </c>
      <c r="J90" s="312">
        <f>J88/SUM(F76:F79)</f>
        <v>8.0698912674160947</v>
      </c>
    </row>
    <row r="92" spans="2:10" ht="18.75">
      <c r="B92" s="490" t="s">
        <v>449</v>
      </c>
      <c r="C92" s="491"/>
      <c r="D92" s="491"/>
      <c r="E92" s="491"/>
      <c r="F92" s="491"/>
      <c r="G92" s="491"/>
      <c r="H92" s="491"/>
      <c r="I92" s="491"/>
      <c r="J92" s="492"/>
    </row>
    <row r="93" spans="2:10" ht="18.75">
      <c r="B93" s="304"/>
      <c r="C93" s="68" t="s">
        <v>159</v>
      </c>
      <c r="D93" s="68" t="s">
        <v>161</v>
      </c>
      <c r="E93" s="71" t="s">
        <v>164</v>
      </c>
      <c r="F93" s="68" t="s">
        <v>437</v>
      </c>
      <c r="G93" s="68" t="s">
        <v>438</v>
      </c>
      <c r="H93" s="68" t="s">
        <v>439</v>
      </c>
      <c r="I93" s="305" t="s">
        <v>433</v>
      </c>
      <c r="J93" s="306" t="s">
        <v>434</v>
      </c>
    </row>
    <row r="94" spans="2:10" ht="17.25">
      <c r="B94" s="72" t="s">
        <v>421</v>
      </c>
      <c r="C94" s="8">
        <f>'3.Riepilogo carichi unitari'!$H$6</f>
        <v>5.7049500000000011</v>
      </c>
      <c r="D94" s="8">
        <f>'3.Riepilogo carichi unitari'!$J$6</f>
        <v>3.8115000000000006</v>
      </c>
      <c r="E94" s="302" t="s">
        <v>41</v>
      </c>
      <c r="F94" s="8">
        <v>52.1</v>
      </c>
      <c r="G94" s="8"/>
      <c r="H94" s="8"/>
      <c r="I94" s="4">
        <f t="shared" ref="I94:I95" si="22">C94*F94</f>
        <v>297.22789500000005</v>
      </c>
      <c r="J94" s="4">
        <f t="shared" ref="J94:J95" si="23">D94*F94</f>
        <v>198.57915000000003</v>
      </c>
    </row>
    <row r="95" spans="2:10" ht="17.25">
      <c r="B95" s="72" t="s">
        <v>451</v>
      </c>
      <c r="C95" s="8">
        <f>'3.Riepilogo carichi unitari'!$H$6</f>
        <v>5.7049500000000011</v>
      </c>
      <c r="D95" s="8">
        <f>'3.Riepilogo carichi unitari'!$J$6</f>
        <v>3.8115000000000006</v>
      </c>
      <c r="E95" s="302" t="s">
        <v>41</v>
      </c>
      <c r="F95" s="8">
        <v>7.9</v>
      </c>
      <c r="G95" s="301"/>
      <c r="H95" s="8"/>
      <c r="I95" s="4">
        <f t="shared" si="22"/>
        <v>45.069105000000008</v>
      </c>
      <c r="J95" s="4">
        <f t="shared" si="23"/>
        <v>30.110850000000006</v>
      </c>
    </row>
    <row r="96" spans="2:10" ht="15.75">
      <c r="B96" s="72" t="s">
        <v>452</v>
      </c>
      <c r="C96" s="8">
        <f>'3.Riepilogo carichi unitari'!$H$9</f>
        <v>5.184075</v>
      </c>
      <c r="D96" s="8">
        <f>'3.Riepilogo carichi unitari'!$J$9</f>
        <v>3.9877500000000001</v>
      </c>
      <c r="E96" s="302" t="s">
        <v>165</v>
      </c>
      <c r="F96" s="8"/>
      <c r="G96" s="8">
        <v>24.4</v>
      </c>
      <c r="H96" s="301"/>
      <c r="I96" s="4">
        <f>C96*G96</f>
        <v>126.49142999999999</v>
      </c>
      <c r="J96" s="4">
        <f>D96*G96</f>
        <v>97.301099999999991</v>
      </c>
    </row>
    <row r="97" spans="2:10" ht="15.75">
      <c r="B97" s="72" t="s">
        <v>447</v>
      </c>
      <c r="C97" s="8">
        <f>0.3*0.7*3.2*25*1.3*0.5</f>
        <v>10.920000000000002</v>
      </c>
      <c r="D97" s="8">
        <f>0.3*0.7*3.2*25*0.5</f>
        <v>8.4</v>
      </c>
      <c r="E97" s="302" t="s">
        <v>432</v>
      </c>
      <c r="F97" s="8"/>
      <c r="G97" s="301"/>
      <c r="H97" s="301">
        <v>6</v>
      </c>
      <c r="I97" s="4">
        <f>C97*H97</f>
        <v>65.52000000000001</v>
      </c>
      <c r="J97" s="4">
        <f>D97*H97</f>
        <v>50.400000000000006</v>
      </c>
    </row>
    <row r="98" spans="2:10" ht="15.75">
      <c r="B98" s="72" t="s">
        <v>436</v>
      </c>
      <c r="C98" s="8">
        <f>'3.Riepilogo carichi unitari'!$H$11</f>
        <v>7.8416000000000015</v>
      </c>
      <c r="D98" s="8">
        <f>'3.Riepilogo carichi unitari'!$J$11</f>
        <v>6.0320000000000009</v>
      </c>
      <c r="E98" s="302" t="s">
        <v>165</v>
      </c>
      <c r="F98" s="8"/>
      <c r="G98" s="301">
        <f>5.68*2+5.32+2.2*2+3.7+1.6*3</f>
        <v>29.58</v>
      </c>
      <c r="H98" s="301"/>
      <c r="I98" s="4">
        <f t="shared" ref="I98" si="24">C98*G98</f>
        <v>231.95452800000004</v>
      </c>
      <c r="J98" s="4">
        <f t="shared" ref="J98" si="25">D98*G98</f>
        <v>178.42656000000002</v>
      </c>
    </row>
    <row r="99" spans="2:10" ht="15.75">
      <c r="B99" s="341"/>
      <c r="C99" s="341"/>
      <c r="D99" s="341"/>
      <c r="E99" s="341"/>
      <c r="F99" s="341"/>
      <c r="G99" s="489" t="s">
        <v>440</v>
      </c>
      <c r="H99" s="489"/>
      <c r="I99" s="8">
        <f>SUM(I94:I98)</f>
        <v>766.26295800000003</v>
      </c>
      <c r="J99" s="8">
        <f>SUM(J94:J98)</f>
        <v>554.81766000000005</v>
      </c>
    </row>
    <row r="100" spans="2:10" ht="15.75">
      <c r="B100" s="341"/>
      <c r="C100" s="341"/>
      <c r="D100" s="341"/>
      <c r="E100" s="341"/>
      <c r="F100" s="341"/>
      <c r="G100" s="489" t="s">
        <v>441</v>
      </c>
      <c r="H100" s="489"/>
      <c r="I100" s="8">
        <f>I99/9.81</f>
        <v>78.110393272171251</v>
      </c>
      <c r="J100" s="8">
        <f>J99/9.81</f>
        <v>56.556336391437313</v>
      </c>
    </row>
    <row r="101" spans="2:10">
      <c r="B101" s="341"/>
      <c r="C101" s="341"/>
      <c r="D101" s="341"/>
      <c r="E101" s="341"/>
      <c r="F101" s="341"/>
      <c r="G101" s="493" t="s">
        <v>442</v>
      </c>
      <c r="H101" s="493"/>
      <c r="I101" s="312">
        <f>I99/SUM(F94:F95)</f>
        <v>12.7710493</v>
      </c>
      <c r="J101" s="312">
        <f>J99/SUM(F94:F95)</f>
        <v>9.2469610000000007</v>
      </c>
    </row>
    <row r="103" spans="2:10">
      <c r="F103" s="81"/>
    </row>
  </sheetData>
  <mergeCells count="36">
    <mergeCell ref="B20:J20"/>
    <mergeCell ref="G34:H34"/>
    <mergeCell ref="G35:H35"/>
    <mergeCell ref="G36:H36"/>
    <mergeCell ref="B34:F36"/>
    <mergeCell ref="B38:J38"/>
    <mergeCell ref="B52:F54"/>
    <mergeCell ref="G52:H52"/>
    <mergeCell ref="G53:H53"/>
    <mergeCell ref="G54:H54"/>
    <mergeCell ref="B56:J56"/>
    <mergeCell ref="B70:F72"/>
    <mergeCell ref="G70:H70"/>
    <mergeCell ref="G71:H71"/>
    <mergeCell ref="G72:H72"/>
    <mergeCell ref="B74:J74"/>
    <mergeCell ref="B88:F90"/>
    <mergeCell ref="G88:H88"/>
    <mergeCell ref="G89:H89"/>
    <mergeCell ref="G90:H90"/>
    <mergeCell ref="B92:J92"/>
    <mergeCell ref="B99:F101"/>
    <mergeCell ref="G99:H99"/>
    <mergeCell ref="G100:H100"/>
    <mergeCell ref="G101:H101"/>
    <mergeCell ref="G16:H16"/>
    <mergeCell ref="B2:J2"/>
    <mergeCell ref="B16:F18"/>
    <mergeCell ref="G17:H17"/>
    <mergeCell ref="G18:H18"/>
    <mergeCell ref="R2:R3"/>
    <mergeCell ref="P2:P3"/>
    <mergeCell ref="M2:M3"/>
    <mergeCell ref="N2:N3"/>
    <mergeCell ref="Q2:Q3"/>
    <mergeCell ref="O2:O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97"/>
  <sheetViews>
    <sheetView topLeftCell="A49" workbookViewId="0">
      <selection activeCell="C82" sqref="C82"/>
    </sheetView>
  </sheetViews>
  <sheetFormatPr defaultRowHeight="15"/>
  <cols>
    <col min="2" max="2" width="11.85546875" customWidth="1"/>
    <col min="6" max="6" width="9.85546875" customWidth="1"/>
    <col min="8" max="8" width="9.7109375" bestFit="1" customWidth="1"/>
  </cols>
  <sheetData>
    <row r="1" spans="1:29" ht="16.5" thickBot="1">
      <c r="A1" s="321" t="s">
        <v>422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3"/>
      <c r="P1" s="321" t="s">
        <v>423</v>
      </c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322"/>
      <c r="AC1" s="323"/>
    </row>
    <row r="2" spans="1:29" ht="18" thickTop="1">
      <c r="A2" s="324" t="s">
        <v>37</v>
      </c>
      <c r="B2" s="325"/>
      <c r="C2" s="325"/>
      <c r="D2" s="31"/>
      <c r="E2" s="31"/>
      <c r="F2" s="325" t="s">
        <v>38</v>
      </c>
      <c r="G2" s="325"/>
      <c r="H2" s="325"/>
      <c r="I2" s="31"/>
      <c r="J2" s="31"/>
      <c r="K2" s="325" t="s">
        <v>39</v>
      </c>
      <c r="L2" s="325"/>
      <c r="M2" s="325"/>
      <c r="N2" s="32"/>
      <c r="P2" s="324" t="s">
        <v>37</v>
      </c>
      <c r="Q2" s="325"/>
      <c r="R2" s="325"/>
      <c r="S2" s="31"/>
      <c r="T2" s="31"/>
      <c r="U2" s="325" t="s">
        <v>38</v>
      </c>
      <c r="V2" s="325"/>
      <c r="W2" s="325"/>
      <c r="X2" s="31"/>
      <c r="Y2" s="31"/>
      <c r="Z2" s="325" t="s">
        <v>39</v>
      </c>
      <c r="AA2" s="325"/>
      <c r="AB2" s="325"/>
      <c r="AC2" s="32"/>
    </row>
    <row r="3" spans="1:29" ht="17.25">
      <c r="A3" s="326" t="s">
        <v>40</v>
      </c>
      <c r="B3" s="318"/>
      <c r="C3" s="33">
        <f>0.04*1*1*25</f>
        <v>1</v>
      </c>
      <c r="D3" s="34" t="s">
        <v>41</v>
      </c>
      <c r="E3" s="31"/>
      <c r="F3" s="318" t="s">
        <v>42</v>
      </c>
      <c r="G3" s="318"/>
      <c r="H3" s="33">
        <f>0.08*1*1*12</f>
        <v>0.96</v>
      </c>
      <c r="I3" s="34" t="s">
        <v>41</v>
      </c>
      <c r="J3" s="31"/>
      <c r="K3" s="318" t="s">
        <v>43</v>
      </c>
      <c r="L3" s="318"/>
      <c r="M3" s="33">
        <v>2</v>
      </c>
      <c r="N3" s="35" t="s">
        <v>41</v>
      </c>
      <c r="P3" s="326" t="s">
        <v>40</v>
      </c>
      <c r="Q3" s="318"/>
      <c r="R3" s="33">
        <f>0.04*1*1*25</f>
        <v>1</v>
      </c>
      <c r="S3" s="294" t="s">
        <v>41</v>
      </c>
      <c r="T3" s="31"/>
      <c r="U3" s="318" t="s">
        <v>42</v>
      </c>
      <c r="V3" s="318"/>
      <c r="W3" s="33">
        <f>0.04*1*1*12</f>
        <v>0.48</v>
      </c>
      <c r="X3" s="294" t="s">
        <v>41</v>
      </c>
      <c r="Y3" s="31"/>
      <c r="Z3" s="318" t="s">
        <v>43</v>
      </c>
      <c r="AA3" s="318"/>
      <c r="AB3" s="33">
        <v>2</v>
      </c>
      <c r="AC3" s="297" t="s">
        <v>41</v>
      </c>
    </row>
    <row r="4" spans="1:29" ht="17.25">
      <c r="A4" s="326" t="s">
        <v>44</v>
      </c>
      <c r="B4" s="318"/>
      <c r="C4" s="33">
        <f>3*(0.08*0.22)*1*25</f>
        <v>1.32</v>
      </c>
      <c r="D4" s="34" t="s">
        <v>41</v>
      </c>
      <c r="E4" s="31"/>
      <c r="F4" s="318" t="s">
        <v>45</v>
      </c>
      <c r="G4" s="318"/>
      <c r="H4" s="33">
        <f>0.01*1*1*15</f>
        <v>0.15</v>
      </c>
      <c r="I4" s="34" t="s">
        <v>41</v>
      </c>
      <c r="J4" s="31"/>
      <c r="K4" s="31"/>
      <c r="L4" s="31"/>
      <c r="M4" s="31"/>
      <c r="N4" s="32"/>
      <c r="P4" s="326" t="s">
        <v>44</v>
      </c>
      <c r="Q4" s="318"/>
      <c r="R4" s="33">
        <f>3*(0.08*0.22)*1*25</f>
        <v>1.32</v>
      </c>
      <c r="S4" s="294" t="s">
        <v>41</v>
      </c>
      <c r="T4" s="31"/>
      <c r="U4" s="318" t="s">
        <v>45</v>
      </c>
      <c r="V4" s="318"/>
      <c r="W4" s="33">
        <f>0.01*1*1*15</f>
        <v>0.15</v>
      </c>
      <c r="X4" s="294" t="s">
        <v>41</v>
      </c>
      <c r="Y4" s="31"/>
      <c r="Z4" s="31"/>
      <c r="AA4" s="31"/>
      <c r="AB4" s="31"/>
      <c r="AC4" s="32"/>
    </row>
    <row r="5" spans="1:29" ht="17.25">
      <c r="A5" s="326" t="s">
        <v>46</v>
      </c>
      <c r="B5" s="318"/>
      <c r="C5" s="33">
        <f>7.5*0.085</f>
        <v>0.63750000000000007</v>
      </c>
      <c r="D5" s="34" t="s">
        <v>41</v>
      </c>
      <c r="E5" s="31"/>
      <c r="F5" s="318" t="s">
        <v>47</v>
      </c>
      <c r="G5" s="318"/>
      <c r="H5" s="33">
        <f>0.224</f>
        <v>0.224</v>
      </c>
      <c r="I5" s="34" t="s">
        <v>41</v>
      </c>
      <c r="J5" s="31"/>
      <c r="K5" s="318" t="s">
        <v>48</v>
      </c>
      <c r="L5" s="318"/>
      <c r="M5" s="33">
        <f>1.2</f>
        <v>1.2</v>
      </c>
      <c r="N5" s="300" t="s">
        <v>41</v>
      </c>
      <c r="P5" s="326" t="s">
        <v>46</v>
      </c>
      <c r="Q5" s="318"/>
      <c r="R5" s="33">
        <f>7.5*0.085</f>
        <v>0.63750000000000007</v>
      </c>
      <c r="S5" s="294" t="s">
        <v>41</v>
      </c>
      <c r="T5" s="31"/>
      <c r="U5" s="318" t="s">
        <v>47</v>
      </c>
      <c r="V5" s="318"/>
      <c r="W5" s="33">
        <f>0.224</f>
        <v>0.224</v>
      </c>
      <c r="X5" s="294" t="s">
        <v>41</v>
      </c>
      <c r="Y5" s="31"/>
      <c r="Z5" s="318"/>
      <c r="AA5" s="318"/>
      <c r="AB5" s="33"/>
      <c r="AC5" s="32"/>
    </row>
    <row r="6" spans="1:29" ht="17.25">
      <c r="A6" s="319" t="s">
        <v>49</v>
      </c>
      <c r="B6" s="320"/>
      <c r="C6" s="33">
        <f>SUM(C3:C5)</f>
        <v>2.9575000000000005</v>
      </c>
      <c r="D6" s="34" t="s">
        <v>41</v>
      </c>
      <c r="E6" s="31"/>
      <c r="F6" s="320" t="s">
        <v>49</v>
      </c>
      <c r="G6" s="320"/>
      <c r="H6" s="33">
        <f>SUM(H3:H5)</f>
        <v>1.3339999999999999</v>
      </c>
      <c r="I6" s="34" t="s">
        <v>41</v>
      </c>
      <c r="J6" s="31"/>
      <c r="K6" s="31"/>
      <c r="L6" s="31"/>
      <c r="M6" s="31"/>
      <c r="N6" s="32"/>
      <c r="P6" s="319" t="s">
        <v>49</v>
      </c>
      <c r="Q6" s="320"/>
      <c r="R6" s="33">
        <f>SUM(R3:R5)</f>
        <v>2.9575000000000005</v>
      </c>
      <c r="S6" s="294" t="s">
        <v>41</v>
      </c>
      <c r="T6" s="31"/>
      <c r="U6" s="320" t="s">
        <v>49</v>
      </c>
      <c r="V6" s="320"/>
      <c r="W6" s="33">
        <f>SUM(W3:W5)</f>
        <v>0.85399999999999998</v>
      </c>
      <c r="X6" s="294" t="s">
        <v>41</v>
      </c>
      <c r="Y6" s="31"/>
      <c r="Z6" s="31"/>
      <c r="AA6" s="31"/>
      <c r="AB6" s="31"/>
      <c r="AC6" s="32"/>
    </row>
    <row r="7" spans="1:29">
      <c r="A7" s="36"/>
      <c r="B7" s="37"/>
      <c r="C7" s="33"/>
      <c r="D7" s="34"/>
      <c r="E7" s="31"/>
      <c r="J7" s="31"/>
      <c r="K7" s="31"/>
      <c r="L7" s="31"/>
      <c r="M7" s="31"/>
      <c r="N7" s="32"/>
      <c r="P7" s="295"/>
      <c r="Q7" s="296"/>
      <c r="R7" s="33"/>
      <c r="S7" s="294"/>
      <c r="T7" s="31"/>
      <c r="Y7" s="31"/>
      <c r="Z7" s="31"/>
      <c r="AA7" s="31"/>
      <c r="AB7" s="31"/>
      <c r="AC7" s="32"/>
    </row>
    <row r="8" spans="1:29">
      <c r="A8" s="38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2"/>
      <c r="P8" s="38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2"/>
    </row>
    <row r="9" spans="1:29" ht="18">
      <c r="A9" s="327" t="s">
        <v>50</v>
      </c>
      <c r="B9" s="328"/>
      <c r="C9" s="328"/>
      <c r="D9" s="329" t="s">
        <v>51</v>
      </c>
      <c r="E9" s="329"/>
      <c r="F9" s="329" t="s">
        <v>52</v>
      </c>
      <c r="G9" s="329"/>
      <c r="H9" s="329" t="s">
        <v>53</v>
      </c>
      <c r="I9" s="329"/>
      <c r="J9" s="31"/>
      <c r="K9" s="31"/>
      <c r="L9" s="31"/>
      <c r="M9" s="31"/>
      <c r="N9" s="32"/>
      <c r="P9" s="327" t="s">
        <v>50</v>
      </c>
      <c r="Q9" s="328"/>
      <c r="R9" s="328"/>
      <c r="S9" s="329" t="s">
        <v>51</v>
      </c>
      <c r="T9" s="329"/>
      <c r="U9" s="329"/>
      <c r="V9" s="329"/>
      <c r="W9" s="329" t="s">
        <v>53</v>
      </c>
      <c r="X9" s="329"/>
      <c r="Y9" s="31"/>
      <c r="Z9" s="31"/>
      <c r="AA9" s="31"/>
      <c r="AB9" s="31"/>
      <c r="AC9" s="32"/>
    </row>
    <row r="10" spans="1:29" ht="17.25">
      <c r="A10" s="330" t="s">
        <v>54</v>
      </c>
      <c r="B10" s="331"/>
      <c r="C10" s="331"/>
      <c r="D10" s="33">
        <f>C6+H6</f>
        <v>4.2915000000000001</v>
      </c>
      <c r="E10" s="34" t="s">
        <v>41</v>
      </c>
      <c r="F10" s="33">
        <f>M5</f>
        <v>1.2</v>
      </c>
      <c r="G10" s="34" t="s">
        <v>41</v>
      </c>
      <c r="H10" s="33">
        <f>M3</f>
        <v>2</v>
      </c>
      <c r="I10" s="34" t="s">
        <v>41</v>
      </c>
      <c r="J10" s="31"/>
      <c r="K10" s="39"/>
      <c r="L10" s="31"/>
      <c r="M10" s="31"/>
      <c r="N10" s="32"/>
      <c r="P10" s="330" t="s">
        <v>54</v>
      </c>
      <c r="Q10" s="331"/>
      <c r="R10" s="331"/>
      <c r="S10" s="33">
        <f>R6+W6</f>
        <v>3.8115000000000006</v>
      </c>
      <c r="T10" s="294" t="s">
        <v>41</v>
      </c>
      <c r="U10" s="33"/>
      <c r="V10" s="294"/>
      <c r="W10" s="33">
        <f>AB3</f>
        <v>2</v>
      </c>
      <c r="X10" s="294" t="s">
        <v>41</v>
      </c>
      <c r="Y10" s="31"/>
      <c r="Z10" s="39"/>
      <c r="AA10" s="31"/>
      <c r="AB10" s="31"/>
      <c r="AC10" s="32"/>
    </row>
    <row r="11" spans="1:29" ht="17.25">
      <c r="A11" s="332" t="s">
        <v>55</v>
      </c>
      <c r="B11" s="333"/>
      <c r="C11" s="333"/>
      <c r="D11" s="40">
        <f>D10*1.3</f>
        <v>5.5789500000000007</v>
      </c>
      <c r="E11" s="41" t="s">
        <v>41</v>
      </c>
      <c r="F11" s="41">
        <f>F10*1.5</f>
        <v>1.7999999999999998</v>
      </c>
      <c r="G11" s="41" t="s">
        <v>41</v>
      </c>
      <c r="H11" s="40">
        <f>H10*1.5</f>
        <v>3</v>
      </c>
      <c r="I11" s="41" t="s">
        <v>41</v>
      </c>
      <c r="J11" s="42"/>
      <c r="K11" s="43"/>
      <c r="L11" s="43"/>
      <c r="M11" s="42"/>
      <c r="N11" s="44"/>
      <c r="P11" s="332" t="s">
        <v>55</v>
      </c>
      <c r="Q11" s="333"/>
      <c r="R11" s="333"/>
      <c r="S11" s="40">
        <f>S10*1.3</f>
        <v>4.9549500000000011</v>
      </c>
      <c r="T11" s="41" t="s">
        <v>41</v>
      </c>
      <c r="U11" s="41"/>
      <c r="V11" s="41"/>
      <c r="W11" s="40">
        <f>W10*1.5</f>
        <v>3</v>
      </c>
      <c r="X11" s="41" t="s">
        <v>41</v>
      </c>
      <c r="Y11" s="42"/>
      <c r="Z11" s="43"/>
      <c r="AA11" s="43"/>
      <c r="AB11" s="42"/>
      <c r="AC11" s="44"/>
    </row>
    <row r="13" spans="1:29" ht="16.5" thickBot="1">
      <c r="A13" s="321" t="s">
        <v>56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3"/>
      <c r="P13" s="321" t="s">
        <v>422</v>
      </c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3"/>
    </row>
    <row r="14" spans="1:29" ht="18" thickTop="1">
      <c r="A14" s="324" t="s">
        <v>37</v>
      </c>
      <c r="B14" s="325"/>
      <c r="C14" s="325"/>
      <c r="D14" s="31"/>
      <c r="E14" s="31"/>
      <c r="F14" s="325" t="s">
        <v>38</v>
      </c>
      <c r="G14" s="325"/>
      <c r="H14" s="325"/>
      <c r="I14" s="31"/>
      <c r="J14" s="31"/>
      <c r="K14" s="325" t="s">
        <v>39</v>
      </c>
      <c r="L14" s="325"/>
      <c r="M14" s="325"/>
      <c r="N14" s="32"/>
      <c r="P14" s="324" t="s">
        <v>37</v>
      </c>
      <c r="Q14" s="325"/>
      <c r="R14" s="325"/>
      <c r="S14" s="31"/>
      <c r="T14" s="31"/>
      <c r="U14" s="325" t="s">
        <v>38</v>
      </c>
      <c r="V14" s="325"/>
      <c r="W14" s="325"/>
      <c r="X14" s="31"/>
      <c r="Y14" s="31"/>
      <c r="Z14" s="325" t="s">
        <v>39</v>
      </c>
      <c r="AA14" s="325"/>
      <c r="AB14" s="325"/>
      <c r="AC14" s="32"/>
    </row>
    <row r="15" spans="1:29" ht="17.25">
      <c r="A15" s="326" t="s">
        <v>40</v>
      </c>
      <c r="B15" s="318"/>
      <c r="C15" s="33">
        <f>0.04*1*1*25</f>
        <v>1</v>
      </c>
      <c r="D15" s="34" t="s">
        <v>41</v>
      </c>
      <c r="E15" s="31"/>
      <c r="F15" s="318" t="s">
        <v>42</v>
      </c>
      <c r="G15" s="318"/>
      <c r="H15" s="33">
        <f>0.04*1*1*12</f>
        <v>0.48</v>
      </c>
      <c r="I15" s="34" t="s">
        <v>41</v>
      </c>
      <c r="J15" s="31"/>
      <c r="K15" s="318" t="s">
        <v>43</v>
      </c>
      <c r="L15" s="318"/>
      <c r="M15" s="33">
        <f>4</f>
        <v>4</v>
      </c>
      <c r="N15" s="35" t="s">
        <v>41</v>
      </c>
      <c r="P15" s="326" t="s">
        <v>40</v>
      </c>
      <c r="Q15" s="318"/>
      <c r="R15" s="33">
        <f>0.04*1*1*25</f>
        <v>1</v>
      </c>
      <c r="S15" s="294" t="s">
        <v>41</v>
      </c>
      <c r="T15" s="31"/>
      <c r="U15" s="318" t="s">
        <v>42</v>
      </c>
      <c r="V15" s="318"/>
      <c r="W15" s="33">
        <f>0.04*1*1*12</f>
        <v>0.48</v>
      </c>
      <c r="X15" s="294" t="s">
        <v>41</v>
      </c>
      <c r="Y15" s="31"/>
      <c r="Z15" s="339" t="s">
        <v>424</v>
      </c>
      <c r="AA15" s="339"/>
      <c r="AB15" s="33">
        <v>0.5</v>
      </c>
      <c r="AC15" s="297" t="s">
        <v>41</v>
      </c>
    </row>
    <row r="16" spans="1:29" ht="17.25">
      <c r="A16" s="326" t="s">
        <v>44</v>
      </c>
      <c r="B16" s="318"/>
      <c r="C16" s="33">
        <f>3*(0.08*0.22)*1*25</f>
        <v>1.32</v>
      </c>
      <c r="D16" s="34" t="s">
        <v>41</v>
      </c>
      <c r="E16" s="31"/>
      <c r="F16" s="318" t="s">
        <v>45</v>
      </c>
      <c r="G16" s="318"/>
      <c r="H16" s="33">
        <f>0.01*1*1*15</f>
        <v>0.15</v>
      </c>
      <c r="I16" s="34" t="s">
        <v>41</v>
      </c>
      <c r="J16" s="31"/>
      <c r="K16" s="31"/>
      <c r="L16" s="31"/>
      <c r="M16" s="31"/>
      <c r="N16" s="32"/>
      <c r="P16" s="326" t="s">
        <v>44</v>
      </c>
      <c r="Q16" s="318"/>
      <c r="R16" s="33">
        <f>3*(0.08*0.22)*1*25</f>
        <v>1.32</v>
      </c>
      <c r="S16" s="294" t="s">
        <v>41</v>
      </c>
      <c r="T16" s="31"/>
      <c r="U16" s="318" t="s">
        <v>45</v>
      </c>
      <c r="V16" s="318"/>
      <c r="W16" s="33">
        <f>0.01*1*1*15</f>
        <v>0.15</v>
      </c>
      <c r="X16" s="294" t="s">
        <v>41</v>
      </c>
      <c r="Y16" s="31"/>
      <c r="Z16" s="339"/>
      <c r="AA16" s="339"/>
      <c r="AB16" s="31"/>
      <c r="AC16" s="32"/>
    </row>
    <row r="17" spans="1:29" ht="17.25">
      <c r="A17" s="326" t="s">
        <v>46</v>
      </c>
      <c r="B17" s="318"/>
      <c r="C17" s="33">
        <f>7.5*0.085</f>
        <v>0.63750000000000007</v>
      </c>
      <c r="D17" s="34" t="s">
        <v>41</v>
      </c>
      <c r="E17" s="31"/>
      <c r="F17" s="318" t="s">
        <v>47</v>
      </c>
      <c r="G17" s="318"/>
      <c r="H17" s="33">
        <f>0.224</f>
        <v>0.224</v>
      </c>
      <c r="I17" s="34" t="s">
        <v>41</v>
      </c>
      <c r="J17" s="31"/>
      <c r="K17" s="31"/>
      <c r="L17" s="31"/>
      <c r="M17" s="31"/>
      <c r="N17" s="32"/>
      <c r="P17" s="326" t="s">
        <v>46</v>
      </c>
      <c r="Q17" s="318"/>
      <c r="R17" s="33">
        <f>7.5*0.085</f>
        <v>0.63750000000000007</v>
      </c>
      <c r="S17" s="294" t="s">
        <v>41</v>
      </c>
      <c r="T17" s="31"/>
      <c r="U17" s="318" t="s">
        <v>47</v>
      </c>
      <c r="V17" s="318"/>
      <c r="W17" s="33">
        <f>0.224</f>
        <v>0.224</v>
      </c>
      <c r="X17" s="294" t="s">
        <v>41</v>
      </c>
      <c r="Y17" s="31"/>
      <c r="Z17" s="318"/>
      <c r="AA17" s="318"/>
      <c r="AB17" s="33"/>
      <c r="AC17" s="32"/>
    </row>
    <row r="18" spans="1:29" ht="17.25">
      <c r="A18" s="319" t="s">
        <v>49</v>
      </c>
      <c r="B18" s="320"/>
      <c r="C18" s="33">
        <f>SUM(C15:C17)</f>
        <v>2.9575000000000005</v>
      </c>
      <c r="D18" s="34" t="s">
        <v>41</v>
      </c>
      <c r="E18" s="31"/>
      <c r="F18" s="320" t="s">
        <v>49</v>
      </c>
      <c r="G18" s="320"/>
      <c r="H18" s="33">
        <f>SUM(H15:H17)</f>
        <v>0.85399999999999998</v>
      </c>
      <c r="I18" s="34" t="s">
        <v>41</v>
      </c>
      <c r="J18" s="31"/>
      <c r="K18" s="31"/>
      <c r="L18" s="31"/>
      <c r="M18" s="31"/>
      <c r="N18" s="32"/>
      <c r="P18" s="319" t="s">
        <v>49</v>
      </c>
      <c r="Q18" s="320"/>
      <c r="R18" s="33">
        <f>SUM(R15:R17)</f>
        <v>2.9575000000000005</v>
      </c>
      <c r="S18" s="294" t="s">
        <v>41</v>
      </c>
      <c r="T18" s="31"/>
      <c r="U18" s="320" t="s">
        <v>49</v>
      </c>
      <c r="V18" s="320"/>
      <c r="W18" s="33">
        <f>SUM(W15:W17)</f>
        <v>0.85399999999999998</v>
      </c>
      <c r="X18" s="294" t="s">
        <v>41</v>
      </c>
      <c r="Y18" s="31"/>
      <c r="Z18" s="31"/>
      <c r="AA18" s="31"/>
      <c r="AB18" s="31"/>
      <c r="AC18" s="32"/>
    </row>
    <row r="19" spans="1:29">
      <c r="A19" s="38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2"/>
      <c r="P19" s="295"/>
      <c r="Q19" s="296"/>
      <c r="R19" s="33"/>
      <c r="S19" s="294"/>
      <c r="T19" s="31"/>
      <c r="Y19" s="31"/>
      <c r="Z19" s="31"/>
      <c r="AA19" s="31"/>
      <c r="AB19" s="31"/>
      <c r="AC19" s="32"/>
    </row>
    <row r="20" spans="1:29" ht="18">
      <c r="A20" s="327" t="s">
        <v>50</v>
      </c>
      <c r="B20" s="328"/>
      <c r="C20" s="328"/>
      <c r="D20" s="329" t="s">
        <v>51</v>
      </c>
      <c r="E20" s="329"/>
      <c r="F20" s="329" t="s">
        <v>53</v>
      </c>
      <c r="G20" s="329"/>
      <c r="H20" s="31"/>
      <c r="I20" s="31"/>
      <c r="J20" s="31"/>
      <c r="K20" s="31"/>
      <c r="L20" s="31"/>
      <c r="M20" s="31"/>
      <c r="N20" s="32"/>
      <c r="P20" s="38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2"/>
    </row>
    <row r="21" spans="1:29" ht="18">
      <c r="A21" s="330" t="s">
        <v>54</v>
      </c>
      <c r="B21" s="331"/>
      <c r="C21" s="331"/>
      <c r="D21" s="33">
        <f>C18+H18</f>
        <v>3.8115000000000006</v>
      </c>
      <c r="E21" s="34" t="s">
        <v>41</v>
      </c>
      <c r="F21" s="33">
        <f>M15</f>
        <v>4</v>
      </c>
      <c r="G21" s="34" t="s">
        <v>41</v>
      </c>
      <c r="H21" s="31"/>
      <c r="I21" s="31"/>
      <c r="J21" s="31"/>
      <c r="K21" s="31"/>
      <c r="L21" s="31"/>
      <c r="M21" s="31"/>
      <c r="N21" s="32"/>
      <c r="P21" s="327" t="s">
        <v>50</v>
      </c>
      <c r="Q21" s="328"/>
      <c r="R21" s="328"/>
      <c r="S21" s="329" t="s">
        <v>51</v>
      </c>
      <c r="T21" s="329"/>
      <c r="U21" s="329"/>
      <c r="V21" s="329"/>
      <c r="W21" s="329" t="s">
        <v>53</v>
      </c>
      <c r="X21" s="329"/>
      <c r="Y21" s="31"/>
      <c r="Z21" s="31"/>
      <c r="AA21" s="31"/>
      <c r="AB21" s="31"/>
      <c r="AC21" s="32"/>
    </row>
    <row r="22" spans="1:29" ht="17.25">
      <c r="A22" s="332" t="s">
        <v>55</v>
      </c>
      <c r="B22" s="333"/>
      <c r="C22" s="333"/>
      <c r="D22" s="40">
        <f>D21*1.3</f>
        <v>4.9549500000000011</v>
      </c>
      <c r="E22" s="41" t="s">
        <v>41</v>
      </c>
      <c r="F22" s="40">
        <f>F21*1.5</f>
        <v>6</v>
      </c>
      <c r="G22" s="41" t="s">
        <v>41</v>
      </c>
      <c r="H22" s="42"/>
      <c r="I22" s="42"/>
      <c r="J22" s="42"/>
      <c r="K22" s="42"/>
      <c r="L22" s="42"/>
      <c r="M22" s="42"/>
      <c r="N22" s="44"/>
      <c r="P22" s="330" t="s">
        <v>54</v>
      </c>
      <c r="Q22" s="331"/>
      <c r="R22" s="331"/>
      <c r="S22" s="33">
        <f>R18+W18</f>
        <v>3.8115000000000006</v>
      </c>
      <c r="T22" s="294" t="s">
        <v>41</v>
      </c>
      <c r="U22" s="33"/>
      <c r="V22" s="294"/>
      <c r="W22" s="33">
        <f>AB15</f>
        <v>0.5</v>
      </c>
      <c r="X22" s="294" t="s">
        <v>41</v>
      </c>
      <c r="Y22" s="31"/>
      <c r="Z22" s="39"/>
      <c r="AA22" s="31"/>
      <c r="AB22" s="31"/>
      <c r="AC22" s="32"/>
    </row>
    <row r="23" spans="1:29" ht="17.25">
      <c r="P23" s="332" t="s">
        <v>55</v>
      </c>
      <c r="Q23" s="333"/>
      <c r="R23" s="333"/>
      <c r="S23" s="40">
        <f>S22*1.3</f>
        <v>4.9549500000000011</v>
      </c>
      <c r="T23" s="41" t="s">
        <v>41</v>
      </c>
      <c r="U23" s="41"/>
      <c r="V23" s="41"/>
      <c r="W23" s="40">
        <f>W22*1.5</f>
        <v>0.75</v>
      </c>
      <c r="X23" s="41" t="s">
        <v>41</v>
      </c>
      <c r="Y23" s="42"/>
      <c r="Z23" s="43"/>
      <c r="AA23" s="43"/>
      <c r="AB23" s="42"/>
      <c r="AC23" s="44"/>
    </row>
    <row r="24" spans="1:29" ht="16.5" thickBot="1">
      <c r="A24" s="321" t="s">
        <v>57</v>
      </c>
      <c r="B24" s="322"/>
      <c r="C24" s="322"/>
      <c r="D24" s="322"/>
      <c r="E24" s="322"/>
      <c r="F24" s="322"/>
      <c r="G24" s="322"/>
      <c r="H24" s="322"/>
      <c r="I24" s="322"/>
      <c r="J24" s="322"/>
      <c r="K24" s="322"/>
      <c r="L24" s="322"/>
      <c r="M24" s="322"/>
      <c r="N24" s="323"/>
    </row>
    <row r="25" spans="1:29" ht="16.5" thickTop="1">
      <c r="A25" s="324" t="s">
        <v>58</v>
      </c>
      <c r="B25" s="325"/>
      <c r="C25" s="325"/>
      <c r="D25" s="325"/>
      <c r="E25" s="325"/>
      <c r="F25" s="325"/>
      <c r="G25" s="325"/>
      <c r="H25" s="325"/>
      <c r="I25" s="325"/>
      <c r="J25" s="45"/>
      <c r="K25" s="45"/>
      <c r="L25" s="45"/>
      <c r="M25" s="45"/>
      <c r="N25" s="46"/>
    </row>
    <row r="26" spans="1:29">
      <c r="A26" s="324" t="s">
        <v>59</v>
      </c>
      <c r="B26" s="325"/>
      <c r="C26" s="325"/>
      <c r="D26" s="325"/>
      <c r="E26" s="31"/>
      <c r="F26" s="325" t="s">
        <v>60</v>
      </c>
      <c r="G26" s="325"/>
      <c r="H26" s="325"/>
      <c r="I26" s="325"/>
      <c r="J26" s="31"/>
      <c r="K26" s="325" t="s">
        <v>61</v>
      </c>
      <c r="L26" s="325"/>
      <c r="M26" s="325"/>
      <c r="N26" s="32"/>
    </row>
    <row r="27" spans="1:29" ht="18.75">
      <c r="A27" s="326" t="s">
        <v>62</v>
      </c>
      <c r="B27" s="318"/>
      <c r="C27" s="33">
        <v>1.6</v>
      </c>
      <c r="D27" s="34" t="s">
        <v>34</v>
      </c>
      <c r="E27" s="31"/>
      <c r="F27" s="318" t="s">
        <v>40</v>
      </c>
      <c r="G27" s="318"/>
      <c r="H27" s="33">
        <f>C32</f>
        <v>0.14000000000000001</v>
      </c>
      <c r="I27" s="34" t="s">
        <v>34</v>
      </c>
      <c r="J27" s="31"/>
      <c r="K27" s="318" t="s">
        <v>63</v>
      </c>
      <c r="L27" s="318"/>
      <c r="M27" s="34">
        <v>25</v>
      </c>
      <c r="N27" s="35" t="s">
        <v>64</v>
      </c>
    </row>
    <row r="28" spans="1:29" ht="18.75">
      <c r="A28" s="326" t="s">
        <v>65</v>
      </c>
      <c r="B28" s="318"/>
      <c r="C28" s="33">
        <v>2.7</v>
      </c>
      <c r="D28" s="34" t="s">
        <v>34</v>
      </c>
      <c r="E28" s="31"/>
      <c r="F28" s="318" t="s">
        <v>66</v>
      </c>
      <c r="G28" s="318"/>
      <c r="H28" s="33">
        <v>0.02</v>
      </c>
      <c r="I28" s="34" t="s">
        <v>34</v>
      </c>
      <c r="J28" s="31"/>
      <c r="K28" s="318" t="s">
        <v>67</v>
      </c>
      <c r="L28" s="318"/>
      <c r="M28" s="34">
        <v>18</v>
      </c>
      <c r="N28" s="35" t="s">
        <v>64</v>
      </c>
    </row>
    <row r="29" spans="1:29" ht="18.75">
      <c r="A29" s="326" t="s">
        <v>68</v>
      </c>
      <c r="B29" s="318"/>
      <c r="C29" s="33">
        <v>2.7</v>
      </c>
      <c r="D29" s="34" t="s">
        <v>34</v>
      </c>
      <c r="E29" s="31"/>
      <c r="F29" s="318" t="s">
        <v>69</v>
      </c>
      <c r="G29" s="318"/>
      <c r="H29" s="33">
        <v>0.02</v>
      </c>
      <c r="I29" s="34" t="s">
        <v>34</v>
      </c>
      <c r="J29" s="31"/>
      <c r="K29" s="318" t="s">
        <v>42</v>
      </c>
      <c r="L29" s="318"/>
      <c r="M29" s="34">
        <v>21</v>
      </c>
      <c r="N29" s="35" t="s">
        <v>64</v>
      </c>
    </row>
    <row r="30" spans="1:29" ht="18.75">
      <c r="A30" s="334" t="s">
        <v>70</v>
      </c>
      <c r="B30" s="335"/>
      <c r="C30" s="33">
        <f>DEGREES(ATAN(C27/C28))</f>
        <v>30.650667957052864</v>
      </c>
      <c r="D30" s="34" t="s">
        <v>71</v>
      </c>
      <c r="E30" s="31"/>
      <c r="F30" s="318" t="s">
        <v>72</v>
      </c>
      <c r="G30" s="318"/>
      <c r="H30" s="33">
        <v>0.03</v>
      </c>
      <c r="I30" s="34" t="s">
        <v>34</v>
      </c>
      <c r="J30" s="31"/>
      <c r="K30" s="318" t="s">
        <v>73</v>
      </c>
      <c r="L30" s="318"/>
      <c r="M30" s="34">
        <v>27</v>
      </c>
      <c r="N30" s="35" t="s">
        <v>64</v>
      </c>
    </row>
    <row r="31" spans="1:29" ht="17.25">
      <c r="A31" s="334" t="s">
        <v>74</v>
      </c>
      <c r="B31" s="335"/>
      <c r="C31" s="33">
        <f>DEGREES(ATAN($C$27/C29))</f>
        <v>30.650667957052864</v>
      </c>
      <c r="D31" s="34" t="s">
        <v>71</v>
      </c>
      <c r="E31" s="31"/>
      <c r="J31" s="31"/>
      <c r="K31" s="318" t="s">
        <v>75</v>
      </c>
      <c r="L31" s="318"/>
      <c r="M31" s="34">
        <v>16</v>
      </c>
      <c r="N31" s="35" t="s">
        <v>64</v>
      </c>
    </row>
    <row r="32" spans="1:29">
      <c r="A32" s="326" t="s">
        <v>40</v>
      </c>
      <c r="B32" s="318"/>
      <c r="C32" s="33">
        <v>0.14000000000000001</v>
      </c>
      <c r="D32" s="34" t="s">
        <v>34</v>
      </c>
      <c r="E32" s="31"/>
      <c r="H32" s="34"/>
      <c r="I32" s="31"/>
      <c r="J32" s="31"/>
      <c r="K32" s="34"/>
      <c r="L32" s="34"/>
      <c r="M32" s="34"/>
      <c r="N32" s="32"/>
    </row>
    <row r="33" spans="1:14">
      <c r="A33" s="326" t="s">
        <v>76</v>
      </c>
      <c r="B33" s="318"/>
      <c r="C33" s="33">
        <v>0.16</v>
      </c>
      <c r="D33" s="34" t="s">
        <v>34</v>
      </c>
      <c r="E33" s="31"/>
      <c r="F33" s="34"/>
      <c r="G33" s="34"/>
      <c r="H33" s="31"/>
      <c r="I33" s="31"/>
      <c r="J33" s="31"/>
      <c r="K33" s="34"/>
      <c r="L33" s="34"/>
      <c r="M33" s="34"/>
      <c r="N33" s="32"/>
    </row>
    <row r="34" spans="1:14">
      <c r="A34" s="326" t="s">
        <v>77</v>
      </c>
      <c r="B34" s="318"/>
      <c r="C34" s="33">
        <v>0.3</v>
      </c>
      <c r="D34" s="34" t="s">
        <v>34</v>
      </c>
      <c r="E34" s="31"/>
      <c r="F34" s="34"/>
      <c r="G34" s="34"/>
      <c r="H34" s="31"/>
      <c r="I34" s="31"/>
      <c r="J34" s="31"/>
      <c r="K34" s="34"/>
      <c r="L34" s="34"/>
      <c r="M34" s="34"/>
      <c r="N34" s="32"/>
    </row>
    <row r="35" spans="1:14" ht="18">
      <c r="A35" s="326" t="s">
        <v>66</v>
      </c>
      <c r="B35" s="318"/>
      <c r="C35" s="33">
        <v>0.02</v>
      </c>
      <c r="D35" s="34" t="s">
        <v>34</v>
      </c>
      <c r="E35" s="31"/>
      <c r="F35" s="34"/>
      <c r="G35" s="34"/>
      <c r="H35" s="31"/>
      <c r="I35" s="31"/>
      <c r="J35" s="31"/>
      <c r="K35" s="34"/>
      <c r="L35" s="34"/>
      <c r="M35" s="34"/>
      <c r="N35" s="32"/>
    </row>
    <row r="36" spans="1:14" ht="18">
      <c r="A36" s="326" t="s">
        <v>69</v>
      </c>
      <c r="B36" s="318"/>
      <c r="C36" s="33">
        <v>0.01</v>
      </c>
      <c r="D36" s="34" t="s">
        <v>34</v>
      </c>
      <c r="E36" s="31"/>
      <c r="F36" s="34"/>
      <c r="G36" s="34"/>
      <c r="H36" s="31"/>
      <c r="I36" s="31"/>
      <c r="J36" s="31"/>
      <c r="K36" s="34"/>
      <c r="L36" s="34"/>
      <c r="M36" s="34"/>
      <c r="N36" s="32"/>
    </row>
    <row r="37" spans="1:14" ht="18">
      <c r="A37" s="318" t="s">
        <v>78</v>
      </c>
      <c r="B37" s="318"/>
      <c r="C37" s="33">
        <v>0.03</v>
      </c>
      <c r="D37" s="34" t="s">
        <v>34</v>
      </c>
      <c r="E37" s="31"/>
      <c r="F37" s="34"/>
      <c r="G37" s="34"/>
      <c r="H37" s="31"/>
      <c r="I37" s="31"/>
      <c r="J37" s="31"/>
      <c r="K37" s="34"/>
      <c r="L37" s="34"/>
      <c r="M37" s="34"/>
      <c r="N37" s="32"/>
    </row>
    <row r="38" spans="1:14" ht="18">
      <c r="A38" s="318" t="s">
        <v>79</v>
      </c>
      <c r="B38" s="318"/>
      <c r="C38" s="33">
        <v>0.02</v>
      </c>
      <c r="D38" s="34" t="s">
        <v>34</v>
      </c>
      <c r="I38" s="31"/>
      <c r="J38" s="31"/>
      <c r="K38" s="34"/>
      <c r="L38" s="34"/>
      <c r="M38" s="34"/>
      <c r="N38" s="32"/>
    </row>
    <row r="39" spans="1:14" ht="18">
      <c r="A39" s="318" t="s">
        <v>80</v>
      </c>
      <c r="B39" s="318"/>
      <c r="C39" s="33">
        <f>C33-C37</f>
        <v>0.13</v>
      </c>
      <c r="D39" s="34" t="s">
        <v>34</v>
      </c>
      <c r="E39" s="31"/>
      <c r="F39" s="34"/>
      <c r="G39" s="34"/>
      <c r="H39" s="31"/>
      <c r="I39" s="31"/>
      <c r="J39" s="31"/>
      <c r="K39" s="34"/>
      <c r="L39" s="34"/>
      <c r="M39" s="34"/>
      <c r="N39" s="32"/>
    </row>
    <row r="40" spans="1:14" ht="18">
      <c r="A40" s="318" t="s">
        <v>81</v>
      </c>
      <c r="B40" s="318"/>
      <c r="C40" s="33">
        <f>C34+C38</f>
        <v>0.32</v>
      </c>
      <c r="D40" s="34" t="s">
        <v>34</v>
      </c>
      <c r="E40" s="31"/>
      <c r="F40" s="34"/>
      <c r="G40" s="34"/>
      <c r="H40" s="31"/>
      <c r="I40" s="31"/>
      <c r="J40" s="31"/>
      <c r="K40" s="34"/>
      <c r="L40" s="34"/>
      <c r="M40" s="34"/>
      <c r="N40" s="32"/>
    </row>
    <row r="41" spans="1:14">
      <c r="A41" s="47"/>
      <c r="B41" s="47"/>
      <c r="C41" s="33"/>
      <c r="D41" s="34"/>
      <c r="E41" s="31"/>
      <c r="F41" s="34"/>
      <c r="G41" s="34"/>
      <c r="H41" s="31"/>
      <c r="I41" s="31"/>
      <c r="J41" s="31"/>
      <c r="K41" s="34"/>
      <c r="L41" s="34"/>
      <c r="M41" s="34"/>
      <c r="N41" s="32"/>
    </row>
    <row r="42" spans="1:14" ht="17.25">
      <c r="A42" s="324" t="s">
        <v>82</v>
      </c>
      <c r="B42" s="325"/>
      <c r="C42" s="325"/>
      <c r="D42" s="325"/>
      <c r="E42" s="31"/>
      <c r="F42" s="325" t="s">
        <v>83</v>
      </c>
      <c r="G42" s="325"/>
      <c r="H42" s="325"/>
      <c r="I42" s="325"/>
      <c r="J42" s="31"/>
      <c r="K42" s="325" t="s">
        <v>84</v>
      </c>
      <c r="L42" s="325"/>
      <c r="M42" s="325"/>
      <c r="N42" s="336"/>
    </row>
    <row r="43" spans="1:14" ht="17.25">
      <c r="A43" s="326" t="s">
        <v>85</v>
      </c>
      <c r="B43" s="318"/>
      <c r="C43" s="33">
        <f>(1*1*C32*M27)/COS(RADIANS(C30))</f>
        <v>4.0683882883454263</v>
      </c>
      <c r="D43" s="34" t="s">
        <v>41</v>
      </c>
      <c r="E43" s="31"/>
      <c r="F43" s="318" t="s">
        <v>85</v>
      </c>
      <c r="G43" s="318"/>
      <c r="H43" s="34">
        <f>1*1*H27*M27</f>
        <v>3.5000000000000004</v>
      </c>
      <c r="I43" s="34" t="s">
        <v>41</v>
      </c>
      <c r="J43" s="31"/>
      <c r="K43" s="325" t="s">
        <v>86</v>
      </c>
      <c r="L43" s="325"/>
      <c r="M43" s="34">
        <f>C29*1.2+C28*1.2</f>
        <v>6.48</v>
      </c>
      <c r="N43" s="35" t="s">
        <v>87</v>
      </c>
    </row>
    <row r="44" spans="1:14" ht="17.25">
      <c r="A44" s="326" t="s">
        <v>88</v>
      </c>
      <c r="B44" s="318"/>
      <c r="C44" s="33">
        <f>(1*1*C35*M28)/COS(RADIANS(C30))</f>
        <v>0.41846279537267239</v>
      </c>
      <c r="D44" s="34" t="s">
        <v>41</v>
      </c>
      <c r="E44" s="31"/>
      <c r="F44" s="318" t="s">
        <v>88</v>
      </c>
      <c r="G44" s="318"/>
      <c r="H44" s="34">
        <f>1*1*H28*M28</f>
        <v>0.36</v>
      </c>
      <c r="I44" s="34" t="s">
        <v>41</v>
      </c>
      <c r="J44" s="34"/>
      <c r="K44" s="325" t="s">
        <v>89</v>
      </c>
      <c r="L44" s="325"/>
      <c r="M44" s="34">
        <f>(1.2*2.5)+(2.1*2.5)</f>
        <v>8.25</v>
      </c>
      <c r="N44" s="35" t="s">
        <v>87</v>
      </c>
    </row>
    <row r="45" spans="1:14" ht="17.25">
      <c r="A45" s="326" t="s">
        <v>75</v>
      </c>
      <c r="B45" s="318"/>
      <c r="C45" s="33">
        <f>(((C33*C34/2)/0.34)*1*M31)/C34</f>
        <v>3.7647058823529411</v>
      </c>
      <c r="D45" s="34" t="s">
        <v>41</v>
      </c>
      <c r="E45" s="31"/>
      <c r="F45" s="318" t="s">
        <v>42</v>
      </c>
      <c r="G45" s="318"/>
      <c r="H45" s="34">
        <f>1*1*H29*M29</f>
        <v>0.42</v>
      </c>
      <c r="I45" s="34" t="s">
        <v>41</v>
      </c>
      <c r="J45" s="34"/>
      <c r="K45" s="318" t="s">
        <v>90</v>
      </c>
      <c r="L45" s="318"/>
      <c r="M45" s="33">
        <f>C48</f>
        <v>9.671556966071039</v>
      </c>
      <c r="N45" s="35" t="s">
        <v>41</v>
      </c>
    </row>
    <row r="46" spans="1:14" ht="17.25">
      <c r="A46" s="326" t="s">
        <v>91</v>
      </c>
      <c r="B46" s="318"/>
      <c r="C46" s="33">
        <f>((C33*C36*M29)/C34)+((C34*C36*M29)/C34)</f>
        <v>0.32200000000000006</v>
      </c>
      <c r="D46" s="34" t="s">
        <v>41</v>
      </c>
      <c r="E46" s="31"/>
      <c r="F46" s="318" t="s">
        <v>73</v>
      </c>
      <c r="G46" s="318"/>
      <c r="H46" s="34">
        <f>1*1*H30*M30</f>
        <v>0.80999999999999994</v>
      </c>
      <c r="I46" s="34" t="s">
        <v>41</v>
      </c>
      <c r="J46" s="34"/>
      <c r="K46" s="318" t="s">
        <v>92</v>
      </c>
      <c r="L46" s="318"/>
      <c r="M46" s="33">
        <f>H47</f>
        <v>5.09</v>
      </c>
      <c r="N46" s="35" t="s">
        <v>41</v>
      </c>
    </row>
    <row r="47" spans="1:14" ht="17.25">
      <c r="A47" s="326" t="s">
        <v>73</v>
      </c>
      <c r="B47" s="318"/>
      <c r="C47" s="33">
        <f>((C39*C38*M30)/0.3)+((C40*C37*M30)/0.3)</f>
        <v>1.0980000000000001</v>
      </c>
      <c r="D47" s="34" t="s">
        <v>41</v>
      </c>
      <c r="E47" s="31"/>
      <c r="F47" s="320" t="s">
        <v>49</v>
      </c>
      <c r="G47" s="320"/>
      <c r="H47" s="34">
        <f>SUM(H43:H46)</f>
        <v>5.09</v>
      </c>
      <c r="I47" s="34" t="s">
        <v>41</v>
      </c>
      <c r="J47" s="34"/>
      <c r="K47" s="318" t="s">
        <v>93</v>
      </c>
      <c r="L47" s="318"/>
      <c r="M47" s="33">
        <f>((M43*M45)+(M44*M46))/(M43+M44)</f>
        <v>7.1055118221412314</v>
      </c>
      <c r="N47" s="35" t="s">
        <v>41</v>
      </c>
    </row>
    <row r="48" spans="1:14" ht="17.25">
      <c r="A48" s="319" t="s">
        <v>49</v>
      </c>
      <c r="B48" s="320"/>
      <c r="C48" s="33">
        <f>SUM(C43:C47)</f>
        <v>9.671556966071039</v>
      </c>
      <c r="D48" s="34" t="s">
        <v>41</v>
      </c>
      <c r="E48" s="31"/>
      <c r="F48" s="34"/>
      <c r="G48" s="34"/>
      <c r="H48" s="34"/>
      <c r="I48" s="34"/>
      <c r="J48" s="34"/>
      <c r="K48" s="31"/>
      <c r="L48" s="31"/>
      <c r="M48" s="31"/>
      <c r="N48" s="32"/>
    </row>
    <row r="49" spans="1:14">
      <c r="A49" s="36"/>
      <c r="B49" s="37"/>
      <c r="C49" s="33"/>
      <c r="D49" s="34"/>
      <c r="E49" s="31"/>
      <c r="F49" s="34"/>
      <c r="G49" s="34"/>
      <c r="H49" s="34"/>
      <c r="I49" s="34"/>
      <c r="J49" s="34"/>
      <c r="K49" s="31"/>
      <c r="L49" s="31"/>
      <c r="M49" s="31"/>
      <c r="N49" s="32"/>
    </row>
    <row r="50" spans="1:14" ht="17.25">
      <c r="A50" s="324" t="s">
        <v>37</v>
      </c>
      <c r="B50" s="325"/>
      <c r="C50" s="325"/>
      <c r="D50" s="31"/>
      <c r="E50" s="31"/>
      <c r="F50" s="325" t="s">
        <v>39</v>
      </c>
      <c r="G50" s="325"/>
      <c r="H50" s="325"/>
      <c r="I50" s="31"/>
      <c r="J50" s="31"/>
      <c r="K50" s="31"/>
      <c r="L50" s="31"/>
      <c r="M50" s="31"/>
      <c r="N50" s="32"/>
    </row>
    <row r="51" spans="1:14" ht="17.25">
      <c r="A51" s="337" t="s">
        <v>94</v>
      </c>
      <c r="B51" s="338"/>
      <c r="C51" s="33">
        <f>M47</f>
        <v>7.1055118221412314</v>
      </c>
      <c r="D51" s="34" t="s">
        <v>41</v>
      </c>
      <c r="E51" s="31"/>
      <c r="F51" s="318" t="s">
        <v>43</v>
      </c>
      <c r="G51" s="318"/>
      <c r="H51" s="33">
        <f>4</f>
        <v>4</v>
      </c>
      <c r="I51" s="34" t="s">
        <v>41</v>
      </c>
      <c r="J51" s="34"/>
      <c r="K51" s="31"/>
      <c r="L51" s="31"/>
      <c r="M51" s="31"/>
      <c r="N51" s="32"/>
    </row>
    <row r="52" spans="1:14">
      <c r="A52" s="3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2"/>
    </row>
    <row r="53" spans="1:14" ht="18">
      <c r="A53" s="327" t="s">
        <v>50</v>
      </c>
      <c r="B53" s="328"/>
      <c r="C53" s="328"/>
      <c r="D53" s="329" t="s">
        <v>51</v>
      </c>
      <c r="E53" s="329"/>
      <c r="F53" s="329" t="s">
        <v>53</v>
      </c>
      <c r="G53" s="329"/>
      <c r="H53" s="31"/>
      <c r="I53" s="31"/>
      <c r="J53" s="31"/>
      <c r="K53" s="31"/>
      <c r="L53" s="31"/>
      <c r="M53" s="31"/>
      <c r="N53" s="32"/>
    </row>
    <row r="54" spans="1:14" ht="17.25">
      <c r="A54" s="330" t="s">
        <v>54</v>
      </c>
      <c r="B54" s="331"/>
      <c r="C54" s="331"/>
      <c r="D54" s="33">
        <f>C51</f>
        <v>7.1055118221412314</v>
      </c>
      <c r="E54" s="34" t="s">
        <v>41</v>
      </c>
      <c r="F54" s="33">
        <f>H51</f>
        <v>4</v>
      </c>
      <c r="G54" s="34" t="s">
        <v>41</v>
      </c>
      <c r="H54" s="31"/>
      <c r="I54" s="31"/>
      <c r="J54" s="31"/>
      <c r="K54" s="31"/>
      <c r="L54" s="31"/>
      <c r="M54" s="31"/>
      <c r="N54" s="32"/>
    </row>
    <row r="55" spans="1:14" ht="17.25">
      <c r="A55" s="332" t="s">
        <v>55</v>
      </c>
      <c r="B55" s="333"/>
      <c r="C55" s="333"/>
      <c r="D55" s="40">
        <f>D54*1.3</f>
        <v>9.2371653687836019</v>
      </c>
      <c r="E55" s="41" t="s">
        <v>41</v>
      </c>
      <c r="F55" s="40">
        <f>F54*1.5</f>
        <v>6</v>
      </c>
      <c r="G55" s="41" t="s">
        <v>41</v>
      </c>
      <c r="H55" s="42"/>
      <c r="I55" s="42"/>
      <c r="J55" s="42"/>
      <c r="K55" s="42"/>
      <c r="L55" s="42"/>
      <c r="M55" s="42"/>
      <c r="N55" s="44"/>
    </row>
    <row r="56" spans="1:14">
      <c r="A56" s="48"/>
    </row>
    <row r="57" spans="1:14" ht="16.5" thickBot="1">
      <c r="A57" s="321" t="s">
        <v>95</v>
      </c>
      <c r="B57" s="322"/>
      <c r="C57" s="322"/>
      <c r="D57" s="322"/>
      <c r="E57" s="322"/>
      <c r="F57" s="322"/>
      <c r="G57" s="322"/>
      <c r="H57" s="322"/>
      <c r="I57" s="322"/>
      <c r="J57" s="322"/>
      <c r="K57" s="322"/>
      <c r="L57" s="322"/>
      <c r="M57" s="322"/>
      <c r="N57" s="323"/>
    </row>
    <row r="58" spans="1:14" ht="18" thickTop="1">
      <c r="A58" s="324" t="s">
        <v>37</v>
      </c>
      <c r="B58" s="325"/>
      <c r="C58" s="325"/>
      <c r="D58" s="31"/>
      <c r="E58" s="31"/>
      <c r="F58" s="325" t="s">
        <v>38</v>
      </c>
      <c r="G58" s="325"/>
      <c r="H58" s="325"/>
      <c r="I58" s="31"/>
      <c r="J58" s="31"/>
      <c r="K58" s="325"/>
      <c r="L58" s="325"/>
      <c r="M58" s="325"/>
      <c r="N58" s="32"/>
    </row>
    <row r="59" spans="1:14" ht="17.25">
      <c r="A59" s="326" t="s">
        <v>96</v>
      </c>
      <c r="B59" s="318"/>
      <c r="C59" s="33">
        <f>0.08*1*1*7.4</f>
        <v>0.59200000000000008</v>
      </c>
      <c r="D59" s="34" t="s">
        <v>41</v>
      </c>
      <c r="E59" s="31"/>
      <c r="F59" s="318" t="s">
        <v>97</v>
      </c>
      <c r="G59" s="318"/>
      <c r="H59" s="33">
        <f>(0.01+0.03)*1*1*20</f>
        <v>0.8</v>
      </c>
      <c r="I59" s="34" t="s">
        <v>41</v>
      </c>
      <c r="J59" s="31"/>
      <c r="K59" s="318"/>
      <c r="L59" s="318"/>
      <c r="M59" s="33"/>
      <c r="N59" s="35"/>
    </row>
    <row r="60" spans="1:14" ht="17.25">
      <c r="A60" s="326" t="s">
        <v>98</v>
      </c>
      <c r="B60" s="318"/>
      <c r="C60" s="33">
        <f>0.12*1*1*6.9</f>
        <v>0.82799999999999996</v>
      </c>
      <c r="D60" s="34" t="s">
        <v>41</v>
      </c>
      <c r="E60" s="31"/>
      <c r="F60" s="318"/>
      <c r="G60" s="318"/>
      <c r="H60" s="33"/>
      <c r="I60" s="34"/>
      <c r="J60" s="31"/>
      <c r="K60" s="31"/>
      <c r="L60" s="31"/>
      <c r="M60" s="31"/>
      <c r="N60" s="32"/>
    </row>
    <row r="61" spans="1:14" ht="17.25">
      <c r="A61" s="326" t="s">
        <v>99</v>
      </c>
      <c r="B61" s="318"/>
      <c r="C61" s="33">
        <f>0.1*1*1*1</f>
        <v>0.1</v>
      </c>
      <c r="D61" s="34" t="s">
        <v>41</v>
      </c>
      <c r="E61" s="31"/>
      <c r="F61" s="318"/>
      <c r="G61" s="318"/>
      <c r="H61" s="33"/>
      <c r="I61" s="34"/>
      <c r="J61" s="31"/>
      <c r="K61" s="31"/>
      <c r="L61" s="31"/>
      <c r="M61" s="31"/>
      <c r="N61" s="32"/>
    </row>
    <row r="62" spans="1:14" ht="17.25">
      <c r="A62" s="319" t="s">
        <v>49</v>
      </c>
      <c r="B62" s="320"/>
      <c r="C62" s="33">
        <f>SUM(C59:C61)</f>
        <v>1.52</v>
      </c>
      <c r="D62" s="34" t="s">
        <v>41</v>
      </c>
      <c r="E62" s="31"/>
      <c r="F62" s="320" t="s">
        <v>49</v>
      </c>
      <c r="G62" s="320"/>
      <c r="H62" s="33">
        <f>SUM(H59:H61)</f>
        <v>0.8</v>
      </c>
      <c r="I62" s="34" t="s">
        <v>41</v>
      </c>
      <c r="J62" s="31"/>
      <c r="K62" s="31"/>
      <c r="L62" s="31"/>
      <c r="M62" s="31"/>
      <c r="N62" s="32"/>
    </row>
    <row r="63" spans="1:14">
      <c r="A63" s="319" t="s">
        <v>100</v>
      </c>
      <c r="B63" s="320"/>
      <c r="C63" s="33">
        <v>2.6</v>
      </c>
      <c r="D63" s="34" t="s">
        <v>34</v>
      </c>
      <c r="E63" s="31" t="s">
        <v>101</v>
      </c>
      <c r="F63" s="31"/>
      <c r="G63" s="31"/>
      <c r="H63" s="31"/>
      <c r="I63" s="31"/>
      <c r="J63" s="31"/>
      <c r="K63" s="31"/>
      <c r="L63" s="31"/>
      <c r="M63" s="31"/>
      <c r="N63" s="32"/>
    </row>
    <row r="64" spans="1:14">
      <c r="A64" s="38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2"/>
    </row>
    <row r="65" spans="1:14" ht="18">
      <c r="A65" s="327" t="s">
        <v>50</v>
      </c>
      <c r="B65" s="328"/>
      <c r="C65" s="328"/>
      <c r="D65" s="329" t="s">
        <v>51</v>
      </c>
      <c r="E65" s="329"/>
      <c r="F65" s="39"/>
      <c r="G65" s="31"/>
      <c r="H65" s="31"/>
      <c r="I65" s="31"/>
      <c r="J65" s="31"/>
      <c r="K65" s="31"/>
      <c r="L65" s="31"/>
      <c r="M65" s="31"/>
      <c r="N65" s="32"/>
    </row>
    <row r="66" spans="1:14">
      <c r="A66" s="330" t="s">
        <v>54</v>
      </c>
      <c r="B66" s="331"/>
      <c r="C66" s="331"/>
      <c r="D66" s="33">
        <f>(C62+H62)*C63</f>
        <v>6.0320000000000009</v>
      </c>
      <c r="E66" s="34" t="s">
        <v>102</v>
      </c>
      <c r="F66" s="31"/>
      <c r="G66" s="31"/>
      <c r="H66" s="31"/>
      <c r="I66" s="31"/>
      <c r="J66" s="31"/>
      <c r="K66" s="31"/>
      <c r="L66" s="31"/>
      <c r="M66" s="31"/>
      <c r="N66" s="32"/>
    </row>
    <row r="67" spans="1:14">
      <c r="A67" s="332" t="s">
        <v>55</v>
      </c>
      <c r="B67" s="333"/>
      <c r="C67" s="333"/>
      <c r="D67" s="40">
        <f>D66*1.3</f>
        <v>7.8416000000000015</v>
      </c>
      <c r="E67" s="41" t="s">
        <v>102</v>
      </c>
      <c r="F67" s="42"/>
      <c r="G67" s="42"/>
      <c r="H67" s="42"/>
      <c r="I67" s="42"/>
      <c r="J67" s="42"/>
      <c r="K67" s="42"/>
      <c r="L67" s="42"/>
      <c r="M67" s="42"/>
      <c r="N67" s="44"/>
    </row>
    <row r="69" spans="1:14" ht="16.5" thickBot="1">
      <c r="A69" s="321" t="s">
        <v>103</v>
      </c>
      <c r="B69" s="322"/>
      <c r="C69" s="322"/>
      <c r="D69" s="322"/>
      <c r="E69" s="322"/>
      <c r="F69" s="322"/>
      <c r="G69" s="322"/>
      <c r="H69" s="322"/>
      <c r="I69" s="322"/>
      <c r="J69" s="322"/>
      <c r="K69" s="322"/>
      <c r="L69" s="322"/>
      <c r="M69" s="322"/>
      <c r="N69" s="323"/>
    </row>
    <row r="70" spans="1:14" ht="18" thickTop="1">
      <c r="A70" s="324" t="s">
        <v>37</v>
      </c>
      <c r="B70" s="325"/>
      <c r="C70" s="325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2"/>
    </row>
    <row r="71" spans="1:14" ht="17.25">
      <c r="A71" s="326" t="s">
        <v>104</v>
      </c>
      <c r="B71" s="318"/>
      <c r="C71" s="33">
        <f>0.08*1*1*7.4</f>
        <v>0.59200000000000008</v>
      </c>
      <c r="D71" s="34" t="s">
        <v>41</v>
      </c>
      <c r="E71" s="31"/>
      <c r="F71" s="320" t="s">
        <v>100</v>
      </c>
      <c r="G71" s="320"/>
      <c r="H71" s="33">
        <v>2.9</v>
      </c>
      <c r="I71" s="34" t="s">
        <v>34</v>
      </c>
      <c r="J71" s="31"/>
      <c r="K71" s="318"/>
      <c r="L71" s="318"/>
      <c r="M71" s="33"/>
      <c r="N71" s="35"/>
    </row>
    <row r="72" spans="1:14" ht="17.25">
      <c r="A72" s="326" t="s">
        <v>67</v>
      </c>
      <c r="B72" s="318"/>
      <c r="C72" s="33">
        <f>(0.01+0.01)*1*1*20</f>
        <v>0.4</v>
      </c>
      <c r="D72" s="34" t="s">
        <v>41</v>
      </c>
      <c r="E72" s="31"/>
      <c r="F72" s="33"/>
      <c r="G72" s="33"/>
      <c r="H72" s="33"/>
      <c r="I72" s="33"/>
      <c r="J72" s="31"/>
      <c r="K72" s="31"/>
      <c r="L72" s="31"/>
      <c r="M72" s="31"/>
      <c r="N72" s="32"/>
    </row>
    <row r="73" spans="1:14" ht="17.25">
      <c r="A73" s="319" t="s">
        <v>49</v>
      </c>
      <c r="B73" s="320"/>
      <c r="C73" s="33">
        <f>SUM(C71:C72)</f>
        <v>0.9920000000000001</v>
      </c>
      <c r="D73" s="34" t="s">
        <v>41</v>
      </c>
      <c r="E73" s="31"/>
      <c r="F73" s="33"/>
      <c r="G73" s="33"/>
      <c r="H73" s="33"/>
      <c r="I73" s="33"/>
      <c r="J73" s="31"/>
      <c r="K73" s="31"/>
      <c r="L73" s="31"/>
      <c r="M73" s="31"/>
      <c r="N73" s="32"/>
    </row>
    <row r="74" spans="1:14">
      <c r="A74" s="38"/>
      <c r="B74" s="31"/>
      <c r="C74" s="31"/>
      <c r="D74" s="31"/>
      <c r="E74" s="31"/>
      <c r="F74" s="33"/>
      <c r="G74" s="33"/>
      <c r="H74" s="33"/>
      <c r="I74" s="33"/>
      <c r="J74" s="31"/>
      <c r="K74" s="31"/>
      <c r="L74" s="31"/>
      <c r="M74" s="31"/>
      <c r="N74" s="32"/>
    </row>
    <row r="75" spans="1:14" ht="18">
      <c r="A75" s="327" t="s">
        <v>50</v>
      </c>
      <c r="B75" s="328"/>
      <c r="C75" s="328"/>
      <c r="D75" s="329" t="s">
        <v>51</v>
      </c>
      <c r="E75" s="329"/>
      <c r="F75" s="33"/>
      <c r="G75" s="33"/>
      <c r="H75" s="31"/>
      <c r="I75" s="31"/>
      <c r="J75" s="31"/>
      <c r="K75" s="31"/>
      <c r="L75" s="31"/>
      <c r="M75" s="31"/>
      <c r="N75" s="32"/>
    </row>
    <row r="76" spans="1:14">
      <c r="A76" s="330" t="s">
        <v>54</v>
      </c>
      <c r="B76" s="331"/>
      <c r="C76" s="331"/>
      <c r="D76" s="33">
        <f>C73*H71</f>
        <v>2.8768000000000002</v>
      </c>
      <c r="E76" s="34" t="s">
        <v>102</v>
      </c>
      <c r="F76" s="33"/>
      <c r="G76" s="33"/>
      <c r="H76" s="31"/>
      <c r="I76" s="31"/>
      <c r="J76" s="31"/>
      <c r="K76" s="31"/>
      <c r="L76" s="31"/>
      <c r="M76" s="31"/>
      <c r="N76" s="32"/>
    </row>
    <row r="77" spans="1:14">
      <c r="A77" s="332" t="s">
        <v>55</v>
      </c>
      <c r="B77" s="333"/>
      <c r="C77" s="333"/>
      <c r="D77" s="40">
        <f>D76*1.3</f>
        <v>3.7398400000000005</v>
      </c>
      <c r="E77" s="41" t="s">
        <v>102</v>
      </c>
      <c r="F77" s="40"/>
      <c r="G77" s="40"/>
      <c r="H77" s="42"/>
      <c r="I77" s="42"/>
      <c r="J77" s="42"/>
      <c r="K77" s="42"/>
      <c r="L77" s="42"/>
      <c r="M77" s="42"/>
      <c r="N77" s="44"/>
    </row>
    <row r="79" spans="1:14" ht="16.5" thickBot="1">
      <c r="A79" s="321" t="s">
        <v>105</v>
      </c>
      <c r="B79" s="322"/>
      <c r="C79" s="322"/>
      <c r="D79" s="322"/>
      <c r="E79" s="322"/>
      <c r="F79" s="322"/>
      <c r="G79" s="322"/>
      <c r="H79" s="322"/>
      <c r="I79" s="322"/>
      <c r="J79" s="322"/>
      <c r="K79" s="322"/>
      <c r="L79" s="322"/>
      <c r="M79" s="322"/>
      <c r="N79" s="323"/>
    </row>
    <row r="80" spans="1:14" ht="15.75" thickTop="1">
      <c r="A80" s="324" t="s">
        <v>58</v>
      </c>
      <c r="B80" s="325"/>
      <c r="C80" s="325"/>
      <c r="D80" s="31"/>
      <c r="E80" s="31"/>
      <c r="F80" s="325" t="s">
        <v>61</v>
      </c>
      <c r="G80" s="325"/>
      <c r="H80" s="325"/>
      <c r="I80" s="31"/>
      <c r="J80" s="31"/>
      <c r="K80" s="49"/>
      <c r="L80" s="49"/>
      <c r="M80" s="49"/>
      <c r="N80" s="50"/>
    </row>
    <row r="81" spans="1:14" ht="17.25">
      <c r="A81" s="326" t="s">
        <v>100</v>
      </c>
      <c r="B81" s="318"/>
      <c r="C81" s="33">
        <v>0.65</v>
      </c>
      <c r="D81" s="34" t="s">
        <v>34</v>
      </c>
      <c r="E81" s="31"/>
      <c r="F81" s="318" t="s">
        <v>63</v>
      </c>
      <c r="G81" s="318"/>
      <c r="H81" s="33">
        <v>25</v>
      </c>
      <c r="I81" s="34" t="s">
        <v>64</v>
      </c>
      <c r="J81" s="31"/>
      <c r="K81" s="51"/>
      <c r="L81" s="51"/>
      <c r="M81" s="52"/>
      <c r="N81" s="50"/>
    </row>
    <row r="82" spans="1:14">
      <c r="A82" s="326" t="s">
        <v>106</v>
      </c>
      <c r="B82" s="318"/>
      <c r="C82" s="33">
        <v>0.3</v>
      </c>
      <c r="D82" s="34" t="s">
        <v>34</v>
      </c>
      <c r="E82" s="31"/>
      <c r="F82" s="33"/>
      <c r="G82" s="33"/>
      <c r="H82" s="33"/>
      <c r="I82" s="34"/>
      <c r="J82" s="31"/>
      <c r="K82" s="31"/>
      <c r="L82" s="31"/>
      <c r="M82" s="31"/>
      <c r="N82" s="32"/>
    </row>
    <row r="83" spans="1:14" ht="17.25">
      <c r="A83" s="326" t="s">
        <v>107</v>
      </c>
      <c r="B83" s="318"/>
      <c r="C83" s="33">
        <f>1*C82*$C$6</f>
        <v>0.88725000000000009</v>
      </c>
      <c r="D83" s="34" t="s">
        <v>41</v>
      </c>
      <c r="E83" s="31"/>
      <c r="F83" s="33"/>
      <c r="G83" s="33"/>
      <c r="H83" s="33"/>
      <c r="I83" s="34"/>
      <c r="J83" s="31"/>
      <c r="K83" s="31"/>
      <c r="L83" s="31"/>
      <c r="M83" s="31"/>
      <c r="N83" s="32"/>
    </row>
    <row r="84" spans="1:14">
      <c r="A84" s="38"/>
      <c r="B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2"/>
    </row>
    <row r="85" spans="1:14" ht="18">
      <c r="A85" s="327" t="s">
        <v>50</v>
      </c>
      <c r="B85" s="328"/>
      <c r="C85" s="328"/>
      <c r="D85" s="329" t="s">
        <v>51</v>
      </c>
      <c r="E85" s="329"/>
      <c r="F85" s="329" t="s">
        <v>53</v>
      </c>
      <c r="G85" s="329"/>
      <c r="H85" s="31"/>
      <c r="I85" s="31"/>
      <c r="J85" s="31"/>
      <c r="K85" s="31"/>
      <c r="L85" s="31"/>
      <c r="M85" s="31"/>
      <c r="N85" s="32"/>
    </row>
    <row r="86" spans="1:14" ht="17.25">
      <c r="A86" s="330" t="s">
        <v>54</v>
      </c>
      <c r="B86" s="331"/>
      <c r="C86" s="331"/>
      <c r="D86" s="33">
        <f>(1*(C81*C82)*H81)-C83</f>
        <v>3.9877500000000001</v>
      </c>
      <c r="E86" s="34" t="s">
        <v>102</v>
      </c>
      <c r="F86" s="33">
        <f>M81</f>
        <v>0</v>
      </c>
      <c r="G86" s="34" t="s">
        <v>41</v>
      </c>
      <c r="H86" s="31"/>
      <c r="I86" s="31"/>
      <c r="J86" s="31"/>
      <c r="K86" s="31"/>
      <c r="L86" s="31"/>
      <c r="M86" s="31"/>
      <c r="N86" s="32"/>
    </row>
    <row r="87" spans="1:14" ht="17.25">
      <c r="A87" s="332" t="s">
        <v>55</v>
      </c>
      <c r="B87" s="333"/>
      <c r="C87" s="333"/>
      <c r="D87" s="40">
        <f>D86*1.3</f>
        <v>5.184075</v>
      </c>
      <c r="E87" s="41" t="s">
        <v>102</v>
      </c>
      <c r="F87" s="40">
        <f>F86*1.5</f>
        <v>0</v>
      </c>
      <c r="G87" s="41" t="s">
        <v>41</v>
      </c>
      <c r="H87" s="42"/>
      <c r="I87" s="40"/>
      <c r="J87" s="42"/>
      <c r="K87" s="42"/>
      <c r="L87" s="42"/>
      <c r="M87" s="42"/>
      <c r="N87" s="44"/>
    </row>
    <row r="89" spans="1:14" ht="16.5" thickBot="1">
      <c r="A89" s="321" t="s">
        <v>108</v>
      </c>
      <c r="B89" s="322"/>
      <c r="C89" s="322"/>
      <c r="D89" s="322"/>
      <c r="E89" s="322"/>
      <c r="F89" s="322"/>
      <c r="G89" s="322"/>
      <c r="H89" s="322"/>
      <c r="I89" s="322"/>
      <c r="J89" s="322"/>
      <c r="K89" s="322"/>
      <c r="L89" s="322"/>
      <c r="M89" s="322"/>
      <c r="N89" s="323"/>
    </row>
    <row r="90" spans="1:14" ht="15.75" thickTop="1">
      <c r="A90" s="324" t="s">
        <v>58</v>
      </c>
      <c r="B90" s="325"/>
      <c r="C90" s="325"/>
      <c r="D90" s="31"/>
      <c r="E90" s="31"/>
      <c r="F90" s="325" t="s">
        <v>61</v>
      </c>
      <c r="G90" s="325"/>
      <c r="H90" s="325"/>
      <c r="I90" s="31"/>
      <c r="J90" s="31"/>
      <c r="K90" s="49"/>
      <c r="L90" s="49"/>
      <c r="M90" s="49"/>
      <c r="N90" s="50"/>
    </row>
    <row r="91" spans="1:14" ht="17.25">
      <c r="A91" s="326" t="s">
        <v>100</v>
      </c>
      <c r="B91" s="318"/>
      <c r="C91" s="33">
        <v>0.26</v>
      </c>
      <c r="D91" s="34" t="s">
        <v>34</v>
      </c>
      <c r="E91" s="31"/>
      <c r="F91" s="318" t="s">
        <v>63</v>
      </c>
      <c r="G91" s="318"/>
      <c r="H91" s="33">
        <v>25</v>
      </c>
      <c r="I91" s="34" t="s">
        <v>64</v>
      </c>
      <c r="J91" s="31"/>
      <c r="K91" s="51"/>
      <c r="L91" s="51"/>
      <c r="M91" s="52"/>
      <c r="N91" s="50"/>
    </row>
    <row r="92" spans="1:14">
      <c r="A92" s="326" t="s">
        <v>106</v>
      </c>
      <c r="B92" s="318"/>
      <c r="C92" s="33">
        <v>0.5</v>
      </c>
      <c r="D92" s="34" t="s">
        <v>34</v>
      </c>
      <c r="E92" s="31"/>
      <c r="F92" s="33"/>
      <c r="G92" s="33"/>
      <c r="H92" s="33"/>
      <c r="I92" s="34"/>
      <c r="J92" s="31"/>
      <c r="K92" s="31"/>
      <c r="L92" s="31"/>
      <c r="M92" s="31"/>
      <c r="N92" s="32"/>
    </row>
    <row r="93" spans="1:14" ht="17.25">
      <c r="A93" s="326" t="s">
        <v>107</v>
      </c>
      <c r="B93" s="318"/>
      <c r="C93" s="33">
        <f>1*C92*$C$6</f>
        <v>1.4787500000000002</v>
      </c>
      <c r="D93" s="34" t="s">
        <v>41</v>
      </c>
      <c r="E93" s="31"/>
      <c r="F93" s="33"/>
      <c r="G93" s="33"/>
      <c r="H93" s="33"/>
      <c r="I93" s="34"/>
      <c r="J93" s="31"/>
      <c r="K93" s="31"/>
      <c r="L93" s="31"/>
      <c r="M93" s="31"/>
      <c r="N93" s="32"/>
    </row>
    <row r="94" spans="1:14">
      <c r="A94" s="38"/>
      <c r="B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2"/>
    </row>
    <row r="95" spans="1:14" ht="18">
      <c r="A95" s="327" t="s">
        <v>50</v>
      </c>
      <c r="B95" s="328"/>
      <c r="C95" s="328"/>
      <c r="D95" s="329" t="s">
        <v>51</v>
      </c>
      <c r="E95" s="329"/>
      <c r="F95" s="329" t="s">
        <v>53</v>
      </c>
      <c r="G95" s="329"/>
      <c r="H95" s="31"/>
      <c r="I95" s="31"/>
      <c r="J95" s="31"/>
      <c r="K95" s="31"/>
      <c r="L95" s="31"/>
      <c r="M95" s="31"/>
      <c r="N95" s="32"/>
    </row>
    <row r="96" spans="1:14">
      <c r="A96" s="330" t="s">
        <v>54</v>
      </c>
      <c r="B96" s="331"/>
      <c r="C96" s="331"/>
      <c r="D96" s="33">
        <f>(1*(C91*C92)*H91)-C93</f>
        <v>1.7712499999999998</v>
      </c>
      <c r="E96" s="34" t="s">
        <v>102</v>
      </c>
      <c r="F96" s="33">
        <f>M91</f>
        <v>0</v>
      </c>
      <c r="G96" s="34" t="s">
        <v>102</v>
      </c>
      <c r="H96" s="31"/>
      <c r="I96" s="31"/>
      <c r="J96" s="31"/>
      <c r="K96" s="31"/>
      <c r="L96" s="31"/>
      <c r="M96" s="31"/>
      <c r="N96" s="32"/>
    </row>
    <row r="97" spans="1:14">
      <c r="A97" s="332" t="s">
        <v>55</v>
      </c>
      <c r="B97" s="333"/>
      <c r="C97" s="333"/>
      <c r="D97" s="40">
        <f>D96*1.3</f>
        <v>2.3026249999999999</v>
      </c>
      <c r="E97" s="41" t="s">
        <v>102</v>
      </c>
      <c r="F97" s="40">
        <f>F96*1.5</f>
        <v>0</v>
      </c>
      <c r="G97" s="41" t="s">
        <v>102</v>
      </c>
      <c r="H97" s="42"/>
      <c r="I97" s="40"/>
      <c r="J97" s="42"/>
      <c r="K97" s="42"/>
      <c r="L97" s="42"/>
      <c r="M97" s="42"/>
      <c r="N97" s="44"/>
    </row>
  </sheetData>
  <mergeCells count="187">
    <mergeCell ref="P23:R23"/>
    <mergeCell ref="P13:AC13"/>
    <mergeCell ref="P14:R14"/>
    <mergeCell ref="U14:W14"/>
    <mergeCell ref="Z14:AB14"/>
    <mergeCell ref="P15:Q15"/>
    <mergeCell ref="U15:V15"/>
    <mergeCell ref="Z17:AA17"/>
    <mergeCell ref="P21:R21"/>
    <mergeCell ref="S21:T21"/>
    <mergeCell ref="U21:V21"/>
    <mergeCell ref="W21:X21"/>
    <mergeCell ref="Z15:AA16"/>
    <mergeCell ref="P17:Q17"/>
    <mergeCell ref="U17:V17"/>
    <mergeCell ref="P18:Q18"/>
    <mergeCell ref="U18:V18"/>
    <mergeCell ref="P22:R22"/>
    <mergeCell ref="P10:R10"/>
    <mergeCell ref="P11:R11"/>
    <mergeCell ref="P16:Q16"/>
    <mergeCell ref="U16:V16"/>
    <mergeCell ref="P5:Q5"/>
    <mergeCell ref="U5:V5"/>
    <mergeCell ref="Z5:AA5"/>
    <mergeCell ref="P6:Q6"/>
    <mergeCell ref="U6:V6"/>
    <mergeCell ref="P9:R9"/>
    <mergeCell ref="S9:T9"/>
    <mergeCell ref="U9:V9"/>
    <mergeCell ref="W9:X9"/>
    <mergeCell ref="P1:AC1"/>
    <mergeCell ref="P2:R2"/>
    <mergeCell ref="U2:W2"/>
    <mergeCell ref="Z2:AB2"/>
    <mergeCell ref="P3:Q3"/>
    <mergeCell ref="U3:V3"/>
    <mergeCell ref="Z3:AA3"/>
    <mergeCell ref="P4:Q4"/>
    <mergeCell ref="U4:V4"/>
    <mergeCell ref="A93:B93"/>
    <mergeCell ref="A95:C95"/>
    <mergeCell ref="D95:E95"/>
    <mergeCell ref="F95:G95"/>
    <mergeCell ref="A96:C96"/>
    <mergeCell ref="A97:C97"/>
    <mergeCell ref="A89:N89"/>
    <mergeCell ref="A90:C90"/>
    <mergeCell ref="F90:H90"/>
    <mergeCell ref="A91:B91"/>
    <mergeCell ref="F91:G91"/>
    <mergeCell ref="A92:B92"/>
    <mergeCell ref="A83:B83"/>
    <mergeCell ref="A85:C85"/>
    <mergeCell ref="D85:E85"/>
    <mergeCell ref="F85:G85"/>
    <mergeCell ref="A86:C86"/>
    <mergeCell ref="A87:C87"/>
    <mergeCell ref="A79:N79"/>
    <mergeCell ref="A80:C80"/>
    <mergeCell ref="F80:H80"/>
    <mergeCell ref="A81:B81"/>
    <mergeCell ref="F81:G81"/>
    <mergeCell ref="A82:B82"/>
    <mergeCell ref="A72:B72"/>
    <mergeCell ref="A73:B73"/>
    <mergeCell ref="A75:C75"/>
    <mergeCell ref="D75:E75"/>
    <mergeCell ref="A76:C76"/>
    <mergeCell ref="A77:C77"/>
    <mergeCell ref="A67:C67"/>
    <mergeCell ref="A69:N69"/>
    <mergeCell ref="A70:C70"/>
    <mergeCell ref="A71:B71"/>
    <mergeCell ref="F71:G71"/>
    <mergeCell ref="K71:L71"/>
    <mergeCell ref="A62:B62"/>
    <mergeCell ref="F62:G62"/>
    <mergeCell ref="A63:B63"/>
    <mergeCell ref="A65:C65"/>
    <mergeCell ref="D65:E65"/>
    <mergeCell ref="A66:C66"/>
    <mergeCell ref="A59:B59"/>
    <mergeCell ref="F59:G59"/>
    <mergeCell ref="K59:L59"/>
    <mergeCell ref="A60:B60"/>
    <mergeCell ref="F60:G60"/>
    <mergeCell ref="A61:B61"/>
    <mergeCell ref="F61:G61"/>
    <mergeCell ref="A54:C54"/>
    <mergeCell ref="A55:C55"/>
    <mergeCell ref="A57:N57"/>
    <mergeCell ref="A58:C58"/>
    <mergeCell ref="F58:H58"/>
    <mergeCell ref="K58:M58"/>
    <mergeCell ref="A48:B48"/>
    <mergeCell ref="A50:C50"/>
    <mergeCell ref="F50:H50"/>
    <mergeCell ref="A51:B51"/>
    <mergeCell ref="F51:G51"/>
    <mergeCell ref="A53:C53"/>
    <mergeCell ref="D53:E53"/>
    <mergeCell ref="F53:G53"/>
    <mergeCell ref="A46:B46"/>
    <mergeCell ref="F46:G46"/>
    <mergeCell ref="K46:L46"/>
    <mergeCell ref="A47:B47"/>
    <mergeCell ref="F47:G47"/>
    <mergeCell ref="K47:L47"/>
    <mergeCell ref="A44:B44"/>
    <mergeCell ref="F44:G44"/>
    <mergeCell ref="K44:L44"/>
    <mergeCell ref="A45:B45"/>
    <mergeCell ref="F45:G45"/>
    <mergeCell ref="K45:L45"/>
    <mergeCell ref="A39:B39"/>
    <mergeCell ref="A40:B40"/>
    <mergeCell ref="A42:D42"/>
    <mergeCell ref="F42:I42"/>
    <mergeCell ref="K42:N42"/>
    <mergeCell ref="A43:B43"/>
    <mergeCell ref="F43:G43"/>
    <mergeCell ref="K43:L43"/>
    <mergeCell ref="A33:B33"/>
    <mergeCell ref="A34:B34"/>
    <mergeCell ref="A35:B35"/>
    <mergeCell ref="A36:B36"/>
    <mergeCell ref="A37:B37"/>
    <mergeCell ref="A38:B38"/>
    <mergeCell ref="A30:B30"/>
    <mergeCell ref="F30:G30"/>
    <mergeCell ref="K30:L30"/>
    <mergeCell ref="A31:B31"/>
    <mergeCell ref="K31:L31"/>
    <mergeCell ref="A32:B32"/>
    <mergeCell ref="A28:B28"/>
    <mergeCell ref="F28:G28"/>
    <mergeCell ref="K28:L28"/>
    <mergeCell ref="A29:B29"/>
    <mergeCell ref="F29:G29"/>
    <mergeCell ref="K29:L29"/>
    <mergeCell ref="A25:I25"/>
    <mergeCell ref="A26:D26"/>
    <mergeCell ref="F26:I26"/>
    <mergeCell ref="K26:M26"/>
    <mergeCell ref="A27:B27"/>
    <mergeCell ref="F27:G27"/>
    <mergeCell ref="K27:L27"/>
    <mergeCell ref="A20:C20"/>
    <mergeCell ref="D20:E20"/>
    <mergeCell ref="F20:G20"/>
    <mergeCell ref="A21:C21"/>
    <mergeCell ref="A22:C22"/>
    <mergeCell ref="A24:N24"/>
    <mergeCell ref="A16:B16"/>
    <mergeCell ref="F16:G16"/>
    <mergeCell ref="A17:B17"/>
    <mergeCell ref="F17:G17"/>
    <mergeCell ref="A18:B18"/>
    <mergeCell ref="F18:G18"/>
    <mergeCell ref="A13:N13"/>
    <mergeCell ref="A14:C14"/>
    <mergeCell ref="F14:H14"/>
    <mergeCell ref="K14:M14"/>
    <mergeCell ref="A15:B15"/>
    <mergeCell ref="F15:G15"/>
    <mergeCell ref="K15:L15"/>
    <mergeCell ref="A9:C9"/>
    <mergeCell ref="D9:E9"/>
    <mergeCell ref="F9:G9"/>
    <mergeCell ref="H9:I9"/>
    <mergeCell ref="A10:C10"/>
    <mergeCell ref="A11:C11"/>
    <mergeCell ref="A4:B4"/>
    <mergeCell ref="F4:G4"/>
    <mergeCell ref="A5:B5"/>
    <mergeCell ref="F5:G5"/>
    <mergeCell ref="K5:L5"/>
    <mergeCell ref="A6:B6"/>
    <mergeCell ref="F6:G6"/>
    <mergeCell ref="A1:N1"/>
    <mergeCell ref="A2:C2"/>
    <mergeCell ref="F2:H2"/>
    <mergeCell ref="K2:M2"/>
    <mergeCell ref="A3:B3"/>
    <mergeCell ref="F3:G3"/>
    <mergeCell ref="K3:L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4"/>
  <sheetViews>
    <sheetView zoomScale="110" zoomScaleNormal="110" workbookViewId="0">
      <selection activeCell="H21" sqref="H21"/>
    </sheetView>
  </sheetViews>
  <sheetFormatPr defaultRowHeight="15"/>
  <cols>
    <col min="1" max="1" width="18" customWidth="1"/>
    <col min="8" max="8" width="12" customWidth="1"/>
    <col min="10" max="10" width="12.42578125" customWidth="1"/>
  </cols>
  <sheetData>
    <row r="1" spans="1:11">
      <c r="A1" s="341"/>
      <c r="B1" s="341"/>
      <c r="C1" s="341"/>
      <c r="D1" s="341"/>
      <c r="E1" s="341"/>
      <c r="F1" s="341"/>
      <c r="G1" s="342"/>
      <c r="H1" s="69" t="s">
        <v>21</v>
      </c>
      <c r="I1" s="340"/>
      <c r="J1" s="69" t="s">
        <v>21</v>
      </c>
      <c r="K1" s="69"/>
    </row>
    <row r="2" spans="1:11" ht="25.5" customHeight="1">
      <c r="A2" s="341"/>
      <c r="B2" s="341"/>
      <c r="C2" s="341"/>
      <c r="D2" s="341"/>
      <c r="E2" s="341"/>
      <c r="F2" s="341"/>
      <c r="G2" s="342"/>
      <c r="H2" s="70" t="s">
        <v>162</v>
      </c>
      <c r="I2" s="340"/>
      <c r="J2" s="70" t="s">
        <v>163</v>
      </c>
      <c r="K2" s="70"/>
    </row>
    <row r="3" spans="1:11" ht="18.75">
      <c r="A3" s="57"/>
      <c r="B3" s="64" t="s">
        <v>153</v>
      </c>
      <c r="C3" s="64" t="s">
        <v>154</v>
      </c>
      <c r="D3" s="64" t="s">
        <v>155</v>
      </c>
      <c r="E3" s="64" t="s">
        <v>156</v>
      </c>
      <c r="F3" s="65" t="s">
        <v>157</v>
      </c>
      <c r="G3" s="64" t="s">
        <v>158</v>
      </c>
      <c r="H3" s="68" t="s">
        <v>159</v>
      </c>
      <c r="I3" s="66" t="s">
        <v>160</v>
      </c>
      <c r="J3" s="64" t="s">
        <v>161</v>
      </c>
      <c r="K3" s="71" t="s">
        <v>164</v>
      </c>
    </row>
    <row r="4" spans="1:11" ht="17.25">
      <c r="A4" s="72" t="s">
        <v>419</v>
      </c>
      <c r="B4" s="8">
        <f>'2.Carichi unitari'!D10</f>
        <v>4.2915000000000001</v>
      </c>
      <c r="C4" s="8">
        <f>'2.Carichi unitari'!F10</f>
        <v>1.2</v>
      </c>
      <c r="D4" s="8">
        <f>'2.Carichi unitari'!AB3</f>
        <v>2</v>
      </c>
      <c r="E4" s="8">
        <f>B4*1.3</f>
        <v>5.5789500000000007</v>
      </c>
      <c r="F4" s="8">
        <f>C4*1.5</f>
        <v>1.7999999999999998</v>
      </c>
      <c r="G4" s="8">
        <f>1.5*D4</f>
        <v>3</v>
      </c>
      <c r="H4" s="8">
        <f>E4+F4+G4</f>
        <v>10.37895</v>
      </c>
      <c r="I4" s="30">
        <v>0.3</v>
      </c>
      <c r="J4" s="67">
        <f>B4+C4+I4*D4</f>
        <v>6.0914999999999999</v>
      </c>
      <c r="K4" s="30" t="s">
        <v>41</v>
      </c>
    </row>
    <row r="5" spans="1:11" ht="17.25">
      <c r="A5" s="72" t="s">
        <v>420</v>
      </c>
      <c r="B5" s="8">
        <f>'2.Carichi unitari'!S10</f>
        <v>3.8115000000000006</v>
      </c>
      <c r="C5" s="8"/>
      <c r="D5" s="8">
        <f>'2.Carichi unitari'!AB3</f>
        <v>2</v>
      </c>
      <c r="E5" s="8">
        <f>B5*1.3</f>
        <v>4.9549500000000011</v>
      </c>
      <c r="F5" s="8"/>
      <c r="G5" s="8">
        <f>1.5*D5</f>
        <v>3</v>
      </c>
      <c r="H5" s="8">
        <f>E5+F5+G5</f>
        <v>7.9549500000000011</v>
      </c>
      <c r="I5" s="299">
        <v>0.3</v>
      </c>
      <c r="J5" s="67">
        <f>B5+I5*D5</f>
        <v>4.4115000000000002</v>
      </c>
      <c r="K5" s="299" t="s">
        <v>41</v>
      </c>
    </row>
    <row r="6" spans="1:11" ht="17.25">
      <c r="A6" s="72" t="s">
        <v>421</v>
      </c>
      <c r="B6" s="8">
        <f>'2.Carichi unitari'!S22</f>
        <v>3.8115000000000006</v>
      </c>
      <c r="C6" s="8"/>
      <c r="D6" s="8">
        <f>'2.Carichi unitari'!W22</f>
        <v>0.5</v>
      </c>
      <c r="E6" s="8">
        <f>B6*1.3</f>
        <v>4.9549500000000011</v>
      </c>
      <c r="F6" s="8"/>
      <c r="G6" s="8">
        <f>1.5*D6</f>
        <v>0.75</v>
      </c>
      <c r="H6" s="8">
        <f>E6+F6+G6</f>
        <v>5.7049500000000011</v>
      </c>
      <c r="I6" s="299">
        <v>0</v>
      </c>
      <c r="J6" s="67">
        <f>B6+I6*D6</f>
        <v>3.8115000000000006</v>
      </c>
      <c r="K6" s="299" t="s">
        <v>41</v>
      </c>
    </row>
    <row r="7" spans="1:11" ht="17.25">
      <c r="A7" s="72" t="s">
        <v>109</v>
      </c>
      <c r="B7" s="8">
        <f>'2.Carichi unitari'!$D$21</f>
        <v>3.8115000000000006</v>
      </c>
      <c r="C7" s="29"/>
      <c r="D7" s="8">
        <v>4</v>
      </c>
      <c r="E7" s="8">
        <f t="shared" ref="E7:E12" si="0">B7*1.3</f>
        <v>4.9549500000000011</v>
      </c>
      <c r="F7" s="57"/>
      <c r="G7" s="8">
        <v>6</v>
      </c>
      <c r="H7" s="8">
        <f t="shared" ref="H7:H12" si="1">E7+G7</f>
        <v>10.95495</v>
      </c>
      <c r="I7" s="30">
        <v>0.6</v>
      </c>
      <c r="J7" s="67">
        <f t="shared" ref="J7:J12" si="2">B7+C7+I7*D7</f>
        <v>6.2115000000000009</v>
      </c>
      <c r="K7" s="30" t="s">
        <v>41</v>
      </c>
    </row>
    <row r="8" spans="1:11" ht="17.25">
      <c r="A8" s="72" t="s">
        <v>110</v>
      </c>
      <c r="B8" s="8">
        <f>'2.Carichi unitari'!D54</f>
        <v>7.1055118221412314</v>
      </c>
      <c r="C8" s="29"/>
      <c r="D8" s="8">
        <v>4</v>
      </c>
      <c r="E8" s="8">
        <f t="shared" si="0"/>
        <v>9.2371653687836019</v>
      </c>
      <c r="F8" s="57"/>
      <c r="G8" s="8">
        <v>6</v>
      </c>
      <c r="H8" s="8">
        <f t="shared" si="1"/>
        <v>15.237165368783602</v>
      </c>
      <c r="I8" s="30">
        <v>0.6</v>
      </c>
      <c r="J8" s="67">
        <f t="shared" si="2"/>
        <v>9.5055118221412318</v>
      </c>
      <c r="K8" s="30" t="s">
        <v>41</v>
      </c>
    </row>
    <row r="9" spans="1:11" ht="15.75">
      <c r="A9" s="72" t="s">
        <v>111</v>
      </c>
      <c r="B9" s="8">
        <f>'2.Carichi unitari'!$D$86</f>
        <v>3.9877500000000001</v>
      </c>
      <c r="C9" s="29"/>
      <c r="D9" s="29"/>
      <c r="E9" s="8">
        <f t="shared" si="0"/>
        <v>5.184075</v>
      </c>
      <c r="F9" s="57"/>
      <c r="G9" s="57"/>
      <c r="H9" s="8">
        <f t="shared" si="1"/>
        <v>5.184075</v>
      </c>
      <c r="I9" s="57"/>
      <c r="J9" s="67">
        <f t="shared" si="2"/>
        <v>3.9877500000000001</v>
      </c>
      <c r="K9" s="30" t="s">
        <v>165</v>
      </c>
    </row>
    <row r="10" spans="1:11" ht="15.75">
      <c r="A10" s="72" t="s">
        <v>112</v>
      </c>
      <c r="B10" s="8">
        <f>'2.Carichi unitari'!$D$96</f>
        <v>1.7712499999999998</v>
      </c>
      <c r="C10" s="29"/>
      <c r="D10" s="29"/>
      <c r="E10" s="8">
        <f t="shared" si="0"/>
        <v>2.3026249999999999</v>
      </c>
      <c r="F10" s="57"/>
      <c r="G10" s="57"/>
      <c r="H10" s="8">
        <f t="shared" si="1"/>
        <v>2.3026249999999999</v>
      </c>
      <c r="I10" s="57"/>
      <c r="J10" s="67">
        <f t="shared" si="2"/>
        <v>1.7712499999999998</v>
      </c>
      <c r="K10" s="30" t="s">
        <v>165</v>
      </c>
    </row>
    <row r="11" spans="1:11" ht="15.75">
      <c r="A11" s="72" t="s">
        <v>113</v>
      </c>
      <c r="B11" s="8">
        <f>'2.Carichi unitari'!$D$66</f>
        <v>6.0320000000000009</v>
      </c>
      <c r="C11" s="29"/>
      <c r="D11" s="29"/>
      <c r="E11" s="8">
        <f t="shared" si="0"/>
        <v>7.8416000000000015</v>
      </c>
      <c r="F11" s="57"/>
      <c r="G11" s="57"/>
      <c r="H11" s="8">
        <f t="shared" si="1"/>
        <v>7.8416000000000015</v>
      </c>
      <c r="I11" s="57"/>
      <c r="J11" s="67">
        <f t="shared" si="2"/>
        <v>6.0320000000000009</v>
      </c>
      <c r="K11" s="30" t="s">
        <v>165</v>
      </c>
    </row>
    <row r="12" spans="1:11" ht="15.75">
      <c r="A12" s="72" t="s">
        <v>114</v>
      </c>
      <c r="B12" s="8">
        <f>'2.Carichi unitari'!$D$76</f>
        <v>2.8768000000000002</v>
      </c>
      <c r="C12" s="29"/>
      <c r="D12" s="29"/>
      <c r="E12" s="8">
        <f t="shared" si="0"/>
        <v>3.7398400000000005</v>
      </c>
      <c r="F12" s="57"/>
      <c r="G12" s="57"/>
      <c r="H12" s="8">
        <f t="shared" si="1"/>
        <v>3.7398400000000005</v>
      </c>
      <c r="I12" s="57"/>
      <c r="J12" s="67">
        <f t="shared" si="2"/>
        <v>2.8768000000000002</v>
      </c>
      <c r="K12" s="30" t="s">
        <v>165</v>
      </c>
    </row>
    <row r="14" spans="1:11">
      <c r="J14" s="303">
        <f>4+0.3*2+1.2</f>
        <v>5.8</v>
      </c>
    </row>
  </sheetData>
  <mergeCells count="3">
    <mergeCell ref="I1:I2"/>
    <mergeCell ref="B1:G2"/>
    <mergeCell ref="A1: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7"/>
  <sheetViews>
    <sheetView topLeftCell="A7" workbookViewId="0">
      <selection activeCell="S70" sqref="S70"/>
    </sheetView>
  </sheetViews>
  <sheetFormatPr defaultRowHeight="15"/>
  <cols>
    <col min="1" max="1" width="15" customWidth="1"/>
    <col min="2" max="4" width="11.7109375" customWidth="1"/>
    <col min="5" max="5" width="10" customWidth="1"/>
    <col min="6" max="6" width="11" customWidth="1"/>
    <col min="7" max="7" width="12.42578125" customWidth="1"/>
    <col min="8" max="8" width="14" customWidth="1"/>
    <col min="9" max="9" width="15" customWidth="1"/>
    <col min="15" max="15" width="15.42578125" customWidth="1"/>
    <col min="23" max="23" width="11.85546875" customWidth="1"/>
  </cols>
  <sheetData>
    <row r="1" spans="1:15">
      <c r="A1" s="351" t="s">
        <v>175</v>
      </c>
      <c r="B1" s="351"/>
      <c r="C1" s="351"/>
      <c r="D1" s="351"/>
      <c r="E1" s="351"/>
      <c r="F1" s="351"/>
      <c r="G1" s="351"/>
      <c r="H1" s="78"/>
      <c r="I1" s="78"/>
      <c r="J1" s="78"/>
      <c r="K1" s="78"/>
      <c r="L1" s="78"/>
      <c r="M1" s="78"/>
      <c r="N1" s="78"/>
      <c r="O1" s="78"/>
    </row>
    <row r="2" spans="1:15">
      <c r="A2" s="352"/>
      <c r="B2" s="352"/>
      <c r="C2" s="352"/>
      <c r="D2" s="352"/>
      <c r="E2" s="352"/>
      <c r="F2" s="352"/>
      <c r="G2" s="352"/>
      <c r="H2" s="79"/>
      <c r="I2" s="79"/>
      <c r="J2" s="79"/>
      <c r="K2" s="79"/>
      <c r="L2" s="79"/>
      <c r="M2" s="79"/>
      <c r="N2" s="79"/>
      <c r="O2" s="79"/>
    </row>
    <row r="4" spans="1:15" ht="15.75" thickBot="1">
      <c r="A4" s="346" t="s">
        <v>166</v>
      </c>
      <c r="B4" s="347"/>
      <c r="C4" s="347"/>
      <c r="D4" s="347"/>
      <c r="E4" s="347"/>
      <c r="F4" s="347"/>
      <c r="G4" s="85"/>
      <c r="I4" s="343" t="s">
        <v>167</v>
      </c>
      <c r="J4" s="344"/>
      <c r="K4" s="344"/>
      <c r="L4" s="344"/>
      <c r="M4" s="344"/>
      <c r="N4" s="345"/>
      <c r="O4" s="85"/>
    </row>
    <row r="5" spans="1:15" ht="33" customHeight="1" thickTop="1">
      <c r="A5" s="38"/>
      <c r="B5" s="91" t="s">
        <v>115</v>
      </c>
      <c r="C5" s="89" t="s">
        <v>182</v>
      </c>
      <c r="D5" s="34"/>
      <c r="E5" s="89" t="s">
        <v>180</v>
      </c>
      <c r="F5" s="89" t="s">
        <v>116</v>
      </c>
      <c r="G5" s="90" t="s">
        <v>181</v>
      </c>
      <c r="I5" s="38"/>
      <c r="J5" s="91" t="s">
        <v>115</v>
      </c>
      <c r="K5" s="89" t="s">
        <v>182</v>
      </c>
      <c r="L5" s="34"/>
      <c r="M5" s="89" t="s">
        <v>180</v>
      </c>
      <c r="N5" s="89" t="s">
        <v>116</v>
      </c>
      <c r="O5" s="90" t="s">
        <v>181</v>
      </c>
    </row>
    <row r="6" spans="1:15">
      <c r="A6" s="38" t="s">
        <v>117</v>
      </c>
      <c r="B6" s="34"/>
      <c r="C6" s="34">
        <v>1.85</v>
      </c>
      <c r="D6" s="34">
        <f>(C6)</f>
        <v>1.85</v>
      </c>
      <c r="E6" s="33">
        <f>D6*('3.Riepilogo carichi unitari'!$E$7)</f>
        <v>9.166657500000003</v>
      </c>
      <c r="F6" s="33">
        <f>D6*'3.Riepilogo carichi unitari'!$G$7</f>
        <v>11.100000000000001</v>
      </c>
      <c r="G6" s="92">
        <f>D6*'3.Riepilogo carichi unitari'!$J$7</f>
        <v>11.491275000000002</v>
      </c>
      <c r="H6" s="97"/>
      <c r="I6" s="38" t="s">
        <v>118</v>
      </c>
      <c r="J6" s="34">
        <v>1.1000000000000001</v>
      </c>
      <c r="K6" s="34">
        <f>(5+2.5)/2</f>
        <v>3.75</v>
      </c>
      <c r="L6" s="33">
        <f>J6*COS(RADIANS(53))*(K6/2)</f>
        <v>1.2412434852510998</v>
      </c>
      <c r="M6" s="33">
        <f>L6*('3.Riepilogo carichi unitari'!$E$4+'3.Riepilogo carichi unitari'!$F$4)</f>
        <v>9.1590736154936039</v>
      </c>
      <c r="N6" s="33">
        <f>L6*'3.Riepilogo carichi unitari'!$G$4</f>
        <v>3.7237304557532998</v>
      </c>
      <c r="O6" s="92">
        <f>L6*'3.Riepilogo carichi unitari'!$J$4</f>
        <v>7.5610346904070749</v>
      </c>
    </row>
    <row r="7" spans="1:15">
      <c r="A7" s="38" t="s">
        <v>121</v>
      </c>
      <c r="B7" s="34">
        <v>1</v>
      </c>
      <c r="C7" s="33">
        <v>5</v>
      </c>
      <c r="D7" s="34">
        <f>B7*(C7/2)</f>
        <v>2.5</v>
      </c>
      <c r="E7" s="33">
        <f>D7*('3.Riepilogo carichi unitari'!$E$4+'3.Riepilogo carichi unitari'!$F$4)</f>
        <v>18.447375000000001</v>
      </c>
      <c r="F7" s="33">
        <f>D7*'3.Riepilogo carichi unitari'!$G$4</f>
        <v>7.5</v>
      </c>
      <c r="G7" s="92">
        <f>D7*'3.Riepilogo carichi unitari'!$J$4</f>
        <v>15.22875</v>
      </c>
      <c r="H7" s="97"/>
      <c r="I7" s="38" t="s">
        <v>121</v>
      </c>
      <c r="J7" s="34">
        <v>1</v>
      </c>
      <c r="K7" s="33">
        <f>(3.78+6.28)/2</f>
        <v>5.03</v>
      </c>
      <c r="L7" s="33">
        <f>J7*COS(RADIANS(53))*(K7/2)</f>
        <v>1.5135647832274017</v>
      </c>
      <c r="M7" s="33">
        <f>L7*('3.Riepilogo carichi unitari'!$E$4+'3.Riepilogo carichi unitari'!$F$4)</f>
        <v>11.168518857195837</v>
      </c>
      <c r="N7" s="33">
        <f>L7*'3.Riepilogo carichi unitari'!$G$4</f>
        <v>4.5406943496822052</v>
      </c>
      <c r="O7" s="92">
        <f>L7*'3.Riepilogo carichi unitari'!$J$4</f>
        <v>9.219879877029717</v>
      </c>
    </row>
    <row r="8" spans="1:15">
      <c r="A8" s="38" t="s">
        <v>122</v>
      </c>
      <c r="B8" s="34"/>
      <c r="C8" s="34"/>
      <c r="D8" s="34"/>
      <c r="E8" s="33">
        <f>'3.Riepilogo carichi unitari'!$E$9</f>
        <v>5.184075</v>
      </c>
      <c r="F8" s="33"/>
      <c r="G8" s="92">
        <f>'3.Riepilogo carichi unitari'!$J$9</f>
        <v>3.9877500000000001</v>
      </c>
      <c r="I8" s="38" t="s">
        <v>122</v>
      </c>
      <c r="J8" s="34"/>
      <c r="K8" s="34"/>
      <c r="L8" s="34"/>
      <c r="M8" s="33">
        <f>'3.Riepilogo carichi unitari'!$E$10</f>
        <v>2.3026249999999999</v>
      </c>
      <c r="N8" s="33"/>
      <c r="O8" s="92">
        <f>'3.Riepilogo carichi unitari'!$J$10</f>
        <v>1.7712499999999998</v>
      </c>
    </row>
    <row r="9" spans="1:15">
      <c r="A9" s="38" t="s">
        <v>123</v>
      </c>
      <c r="B9" s="34"/>
      <c r="C9" s="34"/>
      <c r="D9" s="34"/>
      <c r="E9" s="33">
        <f>'3.Riepilogo carichi unitari'!$E$11</f>
        <v>7.8416000000000015</v>
      </c>
      <c r="F9" s="33"/>
      <c r="G9" s="92">
        <f>'3.Riepilogo carichi unitari'!$J$11</f>
        <v>6.0320000000000009</v>
      </c>
      <c r="I9" s="38" t="s">
        <v>123</v>
      </c>
      <c r="J9" s="34"/>
      <c r="K9" s="34"/>
      <c r="L9" s="34"/>
      <c r="M9" s="33">
        <f>'3.Riepilogo carichi unitari'!$E$11</f>
        <v>7.8416000000000015</v>
      </c>
      <c r="N9" s="33"/>
      <c r="O9" s="92"/>
    </row>
    <row r="10" spans="1:15">
      <c r="A10" s="42"/>
      <c r="B10" s="41"/>
      <c r="C10" s="41"/>
      <c r="D10" s="41"/>
      <c r="E10" s="40">
        <f>SUM(E6:E9)</f>
        <v>40.6397075</v>
      </c>
      <c r="F10" s="40">
        <f>SUM(F6:F9)</f>
        <v>18.600000000000001</v>
      </c>
      <c r="G10" s="92"/>
      <c r="I10" s="53"/>
      <c r="J10" s="41"/>
      <c r="K10" s="41"/>
      <c r="L10" s="41"/>
      <c r="M10" s="40">
        <f>SUM(M6:M9)</f>
        <v>30.471817472689438</v>
      </c>
      <c r="N10" s="40">
        <f>SUM(N6:N9)</f>
        <v>8.264424805435505</v>
      </c>
      <c r="O10" s="92"/>
    </row>
    <row r="11" spans="1:15" ht="28.5" customHeight="1">
      <c r="A11" s="82"/>
      <c r="B11" s="83"/>
      <c r="C11" s="83"/>
      <c r="D11" s="84"/>
      <c r="E11" s="349" t="s">
        <v>179</v>
      </c>
      <c r="F11" s="350"/>
      <c r="G11" s="86" t="s">
        <v>178</v>
      </c>
      <c r="I11" s="82"/>
      <c r="J11" s="83"/>
      <c r="K11" s="83"/>
      <c r="L11" s="84"/>
      <c r="M11" s="349" t="s">
        <v>179</v>
      </c>
      <c r="N11" s="350"/>
      <c r="O11" s="86" t="s">
        <v>178</v>
      </c>
    </row>
    <row r="12" spans="1:15" ht="20.25" customHeight="1">
      <c r="A12" s="53" t="s">
        <v>177</v>
      </c>
      <c r="B12" s="87"/>
      <c r="C12" s="88"/>
      <c r="D12" s="88"/>
      <c r="E12" s="102">
        <f>E10+F10</f>
        <v>59.239707500000002</v>
      </c>
      <c r="F12" s="103"/>
      <c r="G12" s="98">
        <f>SUM(G6:G9)</f>
        <v>36.739775000000002</v>
      </c>
      <c r="I12" s="53" t="s">
        <v>177</v>
      </c>
      <c r="J12" s="87"/>
      <c r="K12" s="88"/>
      <c r="L12" s="88"/>
      <c r="M12" s="102">
        <f>M10+N10</f>
        <v>38.736242278124941</v>
      </c>
      <c r="N12" s="103"/>
      <c r="O12" s="98">
        <f>SUM(O6:O9)</f>
        <v>18.55216456743679</v>
      </c>
    </row>
    <row r="14" spans="1:15" ht="15.75" thickBot="1">
      <c r="A14" s="346" t="s">
        <v>168</v>
      </c>
      <c r="B14" s="347"/>
      <c r="C14" s="347"/>
      <c r="D14" s="347"/>
      <c r="E14" s="347"/>
      <c r="F14" s="348"/>
      <c r="G14" s="85"/>
      <c r="I14" s="346" t="s">
        <v>169</v>
      </c>
      <c r="J14" s="347"/>
      <c r="K14" s="347"/>
      <c r="L14" s="347"/>
      <c r="M14" s="347"/>
      <c r="N14" s="348"/>
      <c r="O14" s="85"/>
    </row>
    <row r="15" spans="1:15" ht="33.75" thickTop="1">
      <c r="A15" s="38"/>
      <c r="B15" s="91" t="s">
        <v>115</v>
      </c>
      <c r="C15" s="89" t="s">
        <v>182</v>
      </c>
      <c r="D15" s="34"/>
      <c r="E15" s="89" t="s">
        <v>180</v>
      </c>
      <c r="F15" s="89" t="s">
        <v>116</v>
      </c>
      <c r="G15" s="90" t="s">
        <v>181</v>
      </c>
      <c r="I15" s="38"/>
      <c r="J15" s="91" t="s">
        <v>115</v>
      </c>
      <c r="K15" s="89" t="s">
        <v>182</v>
      </c>
      <c r="L15" s="34"/>
      <c r="M15" s="89" t="s">
        <v>180</v>
      </c>
      <c r="N15" s="89" t="s">
        <v>116</v>
      </c>
      <c r="O15" s="90" t="s">
        <v>181</v>
      </c>
    </row>
    <row r="16" spans="1:15">
      <c r="A16" s="38" t="s">
        <v>119</v>
      </c>
      <c r="B16" s="34">
        <v>1.1000000000000001</v>
      </c>
      <c r="C16" s="33">
        <v>5</v>
      </c>
      <c r="D16" s="34">
        <f>B16*(C16/2)</f>
        <v>2.75</v>
      </c>
      <c r="E16" s="33">
        <f>D16*('3.Riepilogo carichi unitari'!$E$4+'3.Riepilogo carichi unitari'!$F$4)</f>
        <v>20.292112500000002</v>
      </c>
      <c r="F16" s="33">
        <f>D16*'3.Riepilogo carichi unitari'!$G$4</f>
        <v>8.25</v>
      </c>
      <c r="G16" s="92">
        <f>D16*'3.Riepilogo carichi unitari'!$J$4</f>
        <v>16.751625000000001</v>
      </c>
      <c r="I16" s="38" t="s">
        <v>119</v>
      </c>
      <c r="J16" s="34" t="s">
        <v>120</v>
      </c>
      <c r="K16" s="34" t="s">
        <v>120</v>
      </c>
      <c r="L16" s="34" t="s">
        <v>120</v>
      </c>
      <c r="M16" s="34" t="s">
        <v>120</v>
      </c>
      <c r="N16" s="34" t="s">
        <v>120</v>
      </c>
      <c r="O16" s="92"/>
    </row>
    <row r="17" spans="1:17">
      <c r="A17" s="38" t="s">
        <v>121</v>
      </c>
      <c r="B17" s="34">
        <v>1</v>
      </c>
      <c r="C17" s="34">
        <v>3.78</v>
      </c>
      <c r="D17" s="34">
        <f>B17*(C17/2)</f>
        <v>1.89</v>
      </c>
      <c r="E17" s="33">
        <f>D17*('3.Riepilogo carichi unitari'!$E$4+'3.Riepilogo carichi unitari'!$F$4)</f>
        <v>13.946215500000001</v>
      </c>
      <c r="F17" s="33">
        <f>D17*'3.Riepilogo carichi unitari'!$G$4</f>
        <v>5.67</v>
      </c>
      <c r="G17" s="92">
        <f>D17*'3.Riepilogo carichi unitari'!$J$4</f>
        <v>11.512934999999999</v>
      </c>
      <c r="I17" s="38" t="s">
        <v>121</v>
      </c>
      <c r="J17" s="34">
        <v>1</v>
      </c>
      <c r="K17" s="34">
        <v>6.28</v>
      </c>
      <c r="L17" s="34">
        <f>J17*(K17/2)</f>
        <v>3.14</v>
      </c>
      <c r="M17" s="33">
        <f>L17*('3.Riepilogo carichi unitari'!$E$4+'3.Riepilogo carichi unitari'!$F$4)</f>
        <v>23.169903000000001</v>
      </c>
      <c r="N17" s="33">
        <f>L17*'3.Riepilogo carichi unitari'!$G$4</f>
        <v>9.42</v>
      </c>
      <c r="O17" s="92">
        <f>L17*'3.Riepilogo carichi unitari'!$J$4</f>
        <v>19.127310000000001</v>
      </c>
    </row>
    <row r="18" spans="1:17">
      <c r="A18" s="38" t="s">
        <v>122</v>
      </c>
      <c r="B18" s="34"/>
      <c r="C18" s="34"/>
      <c r="D18" s="34"/>
      <c r="E18" s="33">
        <f>'3.Riepilogo carichi unitari'!$E$9</f>
        <v>5.184075</v>
      </c>
      <c r="F18" s="33"/>
      <c r="G18" s="92">
        <f>'3.Riepilogo carichi unitari'!$J$9</f>
        <v>3.9877500000000001</v>
      </c>
      <c r="I18" s="38" t="s">
        <v>122</v>
      </c>
      <c r="J18" s="34"/>
      <c r="K18" s="34"/>
      <c r="L18" s="34"/>
      <c r="M18" s="33">
        <f>'3.Riepilogo carichi unitari'!$E$9</f>
        <v>5.184075</v>
      </c>
      <c r="N18" s="33"/>
      <c r="O18" s="92">
        <f>'3.Riepilogo carichi unitari'!$J$9</f>
        <v>3.9877500000000001</v>
      </c>
    </row>
    <row r="19" spans="1:17">
      <c r="A19" s="38" t="s">
        <v>123</v>
      </c>
      <c r="B19" s="34"/>
      <c r="C19" s="34"/>
      <c r="D19" s="34"/>
      <c r="E19" s="33" t="s">
        <v>120</v>
      </c>
      <c r="F19" s="33"/>
      <c r="G19" s="92"/>
      <c r="I19" s="38" t="s">
        <v>123</v>
      </c>
      <c r="J19" s="34"/>
      <c r="K19" s="34"/>
      <c r="L19" s="34"/>
      <c r="M19" s="33">
        <f>'3.Riepilogo carichi unitari'!$E$11</f>
        <v>7.8416000000000015</v>
      </c>
      <c r="N19" s="33"/>
      <c r="O19" s="92">
        <f>'3.Riepilogo carichi unitari'!$J$11</f>
        <v>6.0320000000000009</v>
      </c>
    </row>
    <row r="20" spans="1:17">
      <c r="A20" s="53" t="s">
        <v>49</v>
      </c>
      <c r="B20" s="41"/>
      <c r="C20" s="41"/>
      <c r="D20" s="41"/>
      <c r="E20" s="40">
        <f>SUM(E16:E19)</f>
        <v>39.422403000000003</v>
      </c>
      <c r="F20" s="40">
        <f>SUM(F16:F19)</f>
        <v>13.92</v>
      </c>
      <c r="G20" s="92"/>
      <c r="I20" s="53" t="s">
        <v>49</v>
      </c>
      <c r="J20" s="41"/>
      <c r="K20" s="41"/>
      <c r="L20" s="41"/>
      <c r="M20" s="40">
        <f>SUM(M16:M19)</f>
        <v>36.195578000000005</v>
      </c>
      <c r="N20" s="40">
        <f>SUM(N16:N19)</f>
        <v>9.42</v>
      </c>
      <c r="O20" s="92"/>
    </row>
    <row r="21" spans="1:17" ht="30">
      <c r="A21" s="82"/>
      <c r="B21" s="83"/>
      <c r="C21" s="83"/>
      <c r="D21" s="84"/>
      <c r="E21" s="349" t="s">
        <v>179</v>
      </c>
      <c r="F21" s="350"/>
      <c r="G21" s="86" t="s">
        <v>178</v>
      </c>
      <c r="I21" s="82"/>
      <c r="J21" s="83"/>
      <c r="K21" s="83"/>
      <c r="L21" s="84"/>
      <c r="M21" s="349" t="s">
        <v>179</v>
      </c>
      <c r="N21" s="350"/>
      <c r="O21" s="86" t="s">
        <v>178</v>
      </c>
    </row>
    <row r="22" spans="1:17">
      <c r="A22" s="53" t="s">
        <v>177</v>
      </c>
      <c r="B22" s="87"/>
      <c r="C22" s="88"/>
      <c r="D22" s="88"/>
      <c r="E22" s="102">
        <f>E20+F20</f>
        <v>53.342403000000004</v>
      </c>
      <c r="F22" s="103"/>
      <c r="G22" s="98">
        <f>SUM(G16:G19)</f>
        <v>32.252310000000001</v>
      </c>
      <c r="I22" s="53" t="s">
        <v>177</v>
      </c>
      <c r="J22" s="87"/>
      <c r="K22" s="88"/>
      <c r="L22" s="88"/>
      <c r="M22" s="102">
        <f>M20+N20</f>
        <v>45.615578000000006</v>
      </c>
      <c r="N22" s="103"/>
      <c r="O22" s="98">
        <f>SUM(O16:O19)</f>
        <v>29.14706</v>
      </c>
    </row>
    <row r="24" spans="1:17" ht="15.75" thickBot="1">
      <c r="A24" s="346" t="s">
        <v>170</v>
      </c>
      <c r="B24" s="347"/>
      <c r="C24" s="347"/>
      <c r="D24" s="347"/>
      <c r="E24" s="347"/>
      <c r="F24" s="348"/>
      <c r="G24" s="85"/>
      <c r="I24" s="346" t="s">
        <v>171</v>
      </c>
      <c r="J24" s="347"/>
      <c r="K24" s="347"/>
      <c r="L24" s="347"/>
      <c r="M24" s="347"/>
      <c r="N24" s="348"/>
      <c r="O24" s="85"/>
      <c r="Q24">
        <f>ATAN((0.8/1.8))</f>
        <v>0.41822432957922911</v>
      </c>
    </row>
    <row r="25" spans="1:17" ht="33.75" thickTop="1">
      <c r="A25" s="38"/>
      <c r="B25" s="91" t="s">
        <v>115</v>
      </c>
      <c r="C25" s="89" t="s">
        <v>182</v>
      </c>
      <c r="D25" s="34"/>
      <c r="E25" s="89" t="s">
        <v>180</v>
      </c>
      <c r="F25" s="89" t="s">
        <v>116</v>
      </c>
      <c r="G25" s="90" t="s">
        <v>181</v>
      </c>
      <c r="I25" s="38"/>
      <c r="J25" s="91" t="s">
        <v>115</v>
      </c>
      <c r="K25" s="89" t="s">
        <v>182</v>
      </c>
      <c r="L25" s="34"/>
      <c r="M25" s="89" t="s">
        <v>180</v>
      </c>
      <c r="N25" s="89" t="s">
        <v>116</v>
      </c>
      <c r="O25" s="90" t="s">
        <v>181</v>
      </c>
      <c r="Q25">
        <f>DEGREES(Q24)</f>
        <v>23.962488974578186</v>
      </c>
    </row>
    <row r="26" spans="1:17">
      <c r="A26" s="38" t="s">
        <v>119</v>
      </c>
      <c r="B26" s="34">
        <v>1</v>
      </c>
      <c r="C26" s="33">
        <v>3.78</v>
      </c>
      <c r="D26" s="34">
        <f>B26*(C26/2)</f>
        <v>1.89</v>
      </c>
      <c r="E26" s="33">
        <f>D26*('3.Riepilogo carichi unitari'!$E$4+'3.Riepilogo carichi unitari'!$F$4)</f>
        <v>13.946215500000001</v>
      </c>
      <c r="F26" s="33">
        <f>D26*'3.Riepilogo carichi unitari'!$G$4</f>
        <v>5.67</v>
      </c>
      <c r="G26" s="92">
        <f>D26*'3.Riepilogo carichi unitari'!$J$4</f>
        <v>11.512934999999999</v>
      </c>
      <c r="I26" s="38" t="s">
        <v>119</v>
      </c>
      <c r="J26" s="34">
        <v>1.2</v>
      </c>
      <c r="K26" s="33">
        <v>6.28</v>
      </c>
      <c r="L26" s="33">
        <f>J26*(K26/2)</f>
        <v>3.7679999999999998</v>
      </c>
      <c r="M26" s="33">
        <f>L26*('3.Riepilogo carichi unitari'!$E$4+'3.Riepilogo carichi unitari'!$F$4)</f>
        <v>27.803883599999999</v>
      </c>
      <c r="N26" s="33">
        <f>L26*'3.Riepilogo carichi unitari'!$G$4</f>
        <v>11.303999999999998</v>
      </c>
      <c r="O26" s="92">
        <f>L26*'3.Riepilogo carichi unitari'!$J$4</f>
        <v>22.952772</v>
      </c>
    </row>
    <row r="27" spans="1:17">
      <c r="A27" s="38" t="s">
        <v>121</v>
      </c>
      <c r="B27" s="34">
        <v>1</v>
      </c>
      <c r="C27" s="34">
        <v>4.62</v>
      </c>
      <c r="D27" s="34">
        <f>B27*(C27/2)</f>
        <v>2.31</v>
      </c>
      <c r="E27" s="33">
        <f>D27*('3.Riepilogo carichi unitari'!$E$4+'3.Riepilogo carichi unitari'!$F$4)</f>
        <v>17.045374500000001</v>
      </c>
      <c r="F27" s="33">
        <f>D27*'3.Riepilogo carichi unitari'!$G$4</f>
        <v>6.93</v>
      </c>
      <c r="G27" s="92">
        <f>D27*'3.Riepilogo carichi unitari'!$J$4</f>
        <v>14.071365</v>
      </c>
      <c r="I27" s="38" t="s">
        <v>121</v>
      </c>
      <c r="J27" s="34">
        <v>1.2</v>
      </c>
      <c r="K27" s="34">
        <v>5.62</v>
      </c>
      <c r="L27" s="33">
        <f>J27*(K27/2)</f>
        <v>3.3719999999999999</v>
      </c>
      <c r="M27" s="33">
        <f>L27*('3.Riepilogo carichi unitari'!$E$4+'3.Riepilogo carichi unitari'!$F$4)</f>
        <v>24.881819400000001</v>
      </c>
      <c r="N27" s="33">
        <f>L27*'3.Riepilogo carichi unitari'!$G$4</f>
        <v>10.116</v>
      </c>
      <c r="O27" s="92">
        <f>L27*'3.Riepilogo carichi unitari'!$J$4</f>
        <v>20.540537999999998</v>
      </c>
    </row>
    <row r="28" spans="1:17">
      <c r="A28" s="38" t="s">
        <v>122</v>
      </c>
      <c r="B28" s="34"/>
      <c r="C28" s="34"/>
      <c r="D28" s="34"/>
      <c r="E28" s="33">
        <f>'3.Riepilogo carichi unitari'!$E$9</f>
        <v>5.184075</v>
      </c>
      <c r="F28" s="33"/>
      <c r="G28" s="92">
        <f>'3.Riepilogo carichi unitari'!$J$9</f>
        <v>3.9877500000000001</v>
      </c>
      <c r="I28" s="38" t="s">
        <v>122</v>
      </c>
      <c r="J28" s="34"/>
      <c r="K28" s="34"/>
      <c r="L28" s="34"/>
      <c r="M28" s="33">
        <f>'3.Riepilogo carichi unitari'!$E$9</f>
        <v>5.184075</v>
      </c>
      <c r="N28" s="33"/>
      <c r="O28" s="92">
        <f>'3.Riepilogo carichi unitari'!$J$9</f>
        <v>3.9877500000000001</v>
      </c>
    </row>
    <row r="29" spans="1:17">
      <c r="A29" s="38" t="s">
        <v>123</v>
      </c>
      <c r="B29" s="34"/>
      <c r="C29" s="34"/>
      <c r="D29" s="34"/>
      <c r="E29" s="33" t="s">
        <v>120</v>
      </c>
      <c r="F29" s="33"/>
      <c r="G29" s="92"/>
      <c r="I29" s="38" t="s">
        <v>123</v>
      </c>
      <c r="J29" s="34"/>
      <c r="K29" s="34"/>
      <c r="L29" s="34"/>
      <c r="M29" s="33" t="s">
        <v>120</v>
      </c>
      <c r="N29" s="33"/>
      <c r="O29" s="92"/>
    </row>
    <row r="30" spans="1:17">
      <c r="A30" s="53" t="s">
        <v>49</v>
      </c>
      <c r="B30" s="41"/>
      <c r="C30" s="41"/>
      <c r="D30" s="41"/>
      <c r="E30" s="40">
        <f>SUM(E26:E29)</f>
        <v>36.175665000000002</v>
      </c>
      <c r="F30" s="40">
        <f>SUM(F26:F29)</f>
        <v>12.6</v>
      </c>
      <c r="G30" s="92"/>
      <c r="I30" s="53" t="s">
        <v>49</v>
      </c>
      <c r="J30" s="41"/>
      <c r="K30" s="41"/>
      <c r="L30" s="41"/>
      <c r="M30" s="40">
        <f>SUM(M26:M29)</f>
        <v>57.869778000000004</v>
      </c>
      <c r="N30" s="40">
        <f>SUM(N26:N29)</f>
        <v>21.419999999999998</v>
      </c>
      <c r="O30" s="92"/>
    </row>
    <row r="31" spans="1:17" ht="30">
      <c r="A31" s="82"/>
      <c r="B31" s="83"/>
      <c r="C31" s="83"/>
      <c r="D31" s="84"/>
      <c r="E31" s="349" t="s">
        <v>179</v>
      </c>
      <c r="F31" s="350"/>
      <c r="G31" s="86" t="s">
        <v>178</v>
      </c>
      <c r="I31" s="82"/>
      <c r="J31" s="83"/>
      <c r="K31" s="83"/>
      <c r="L31" s="84"/>
      <c r="M31" s="349" t="s">
        <v>179</v>
      </c>
      <c r="N31" s="350"/>
      <c r="O31" s="86" t="s">
        <v>178</v>
      </c>
    </row>
    <row r="32" spans="1:17">
      <c r="A32" s="53" t="s">
        <v>177</v>
      </c>
      <c r="B32" s="87"/>
      <c r="C32" s="88"/>
      <c r="D32" s="88"/>
      <c r="E32" s="102">
        <f>E30+F30</f>
        <v>48.775665000000004</v>
      </c>
      <c r="F32" s="103"/>
      <c r="G32" s="98">
        <f>SUM(G26:G29)</f>
        <v>29.572049999999997</v>
      </c>
      <c r="I32" s="53" t="s">
        <v>177</v>
      </c>
      <c r="J32" s="87"/>
      <c r="K32" s="88"/>
      <c r="L32" s="88"/>
      <c r="M32" s="102">
        <f>M30+N30</f>
        <v>79.289777999999998</v>
      </c>
      <c r="N32" s="103"/>
      <c r="O32" s="98">
        <f>SUM(O26:O29)</f>
        <v>47.481059999999992</v>
      </c>
    </row>
    <row r="34" spans="1:15" ht="15.75" thickBot="1">
      <c r="A34" s="346" t="s">
        <v>172</v>
      </c>
      <c r="B34" s="347"/>
      <c r="C34" s="347"/>
      <c r="D34" s="347"/>
      <c r="E34" s="347"/>
      <c r="F34" s="348"/>
      <c r="G34" s="85"/>
      <c r="I34" s="343" t="s">
        <v>173</v>
      </c>
      <c r="J34" s="344"/>
      <c r="K34" s="344"/>
      <c r="L34" s="344"/>
      <c r="M34" s="344"/>
      <c r="N34" s="345"/>
      <c r="O34" s="85"/>
    </row>
    <row r="35" spans="1:15" ht="33.75" thickTop="1">
      <c r="A35" s="38"/>
      <c r="B35" s="91" t="s">
        <v>115</v>
      </c>
      <c r="C35" s="89" t="s">
        <v>182</v>
      </c>
      <c r="D35" s="34"/>
      <c r="E35" s="89" t="s">
        <v>180</v>
      </c>
      <c r="F35" s="89" t="s">
        <v>116</v>
      </c>
      <c r="G35" s="90" t="s">
        <v>181</v>
      </c>
      <c r="I35" s="38"/>
      <c r="J35" s="91" t="s">
        <v>115</v>
      </c>
      <c r="K35" s="89" t="s">
        <v>182</v>
      </c>
      <c r="L35" s="34"/>
      <c r="M35" s="89" t="s">
        <v>180</v>
      </c>
      <c r="N35" s="89" t="s">
        <v>116</v>
      </c>
      <c r="O35" s="90" t="s">
        <v>181</v>
      </c>
    </row>
    <row r="36" spans="1:15">
      <c r="A36" s="38" t="s">
        <v>119</v>
      </c>
      <c r="B36" s="34">
        <v>1</v>
      </c>
      <c r="C36" s="33">
        <v>4.62</v>
      </c>
      <c r="D36" s="34">
        <f>B36*(C36/2)</f>
        <v>2.31</v>
      </c>
      <c r="E36" s="33">
        <f>D36*('3.Riepilogo carichi unitari'!$E$4+'3.Riepilogo carichi unitari'!$F$4)</f>
        <v>17.045374500000001</v>
      </c>
      <c r="F36" s="33">
        <f>D36*'3.Riepilogo carichi unitari'!$G$4</f>
        <v>6.93</v>
      </c>
      <c r="G36" s="92">
        <f>D36*'3.Riepilogo carichi unitari'!$J$4</f>
        <v>14.071365</v>
      </c>
      <c r="I36" s="38" t="s">
        <v>119</v>
      </c>
      <c r="J36" s="34">
        <v>1</v>
      </c>
      <c r="K36" s="34">
        <f>(4.62+5.62)/2</f>
        <v>5.12</v>
      </c>
      <c r="L36" s="33">
        <f>J36*COS(RADIANS(24))*(K36/2)</f>
        <v>2.3386763715650583</v>
      </c>
      <c r="M36" s="33">
        <f>L36*('3.Riepilogo carichi unitari'!$E$4+'3.Riepilogo carichi unitari'!$F$4)</f>
        <v>17.256976011959988</v>
      </c>
      <c r="N36" s="33">
        <f>L36*'3.Riepilogo carichi unitari'!$G$4</f>
        <v>7.0160291146951748</v>
      </c>
      <c r="O36" s="92">
        <f>L36*'3.Riepilogo carichi unitari'!$J$4</f>
        <v>14.246047117388553</v>
      </c>
    </row>
    <row r="37" spans="1:15">
      <c r="A37" s="38" t="s">
        <v>121</v>
      </c>
      <c r="B37" s="34">
        <v>1.1000000000000001</v>
      </c>
      <c r="C37" s="33">
        <v>3.5</v>
      </c>
      <c r="D37" s="34">
        <f>B37*(C37/2)</f>
        <v>1.9250000000000003</v>
      </c>
      <c r="E37" s="33">
        <f>D37*('3.Riepilogo carichi unitari'!$E$4+'3.Riepilogo carichi unitari'!$F$4)</f>
        <v>14.204478750000003</v>
      </c>
      <c r="F37" s="33">
        <f>D37*'3.Riepilogo carichi unitari'!$G$4</f>
        <v>5.7750000000000004</v>
      </c>
      <c r="G37" s="92">
        <f>D37*'3.Riepilogo carichi unitari'!$J$4</f>
        <v>11.726137500000002</v>
      </c>
      <c r="I37" s="38" t="s">
        <v>121</v>
      </c>
      <c r="J37" s="34">
        <v>1.1000000000000001</v>
      </c>
      <c r="K37" s="34">
        <f>(3.5+2.5)/2</f>
        <v>3</v>
      </c>
      <c r="L37" s="33">
        <f>J37*COS(RADIANS(24))*(K37/2)</f>
        <v>1.5073500051102917</v>
      </c>
      <c r="M37" s="33">
        <f>L37*('3.Riepilogo carichi unitari'!$E$4+'3.Riepilogo carichi unitari'!$F$4)</f>
        <v>11.122660320208588</v>
      </c>
      <c r="N37" s="33">
        <f>L37*'3.Riepilogo carichi unitari'!$G$4</f>
        <v>4.5220500153308754</v>
      </c>
      <c r="O37" s="92">
        <f>L37*'3.Riepilogo carichi unitari'!$J$4</f>
        <v>9.1820225561293416</v>
      </c>
    </row>
    <row r="38" spans="1:15">
      <c r="A38" s="38" t="s">
        <v>122</v>
      </c>
      <c r="B38" s="34"/>
      <c r="C38" s="34"/>
      <c r="D38" s="34"/>
      <c r="E38" s="33">
        <f>'3.Riepilogo carichi unitari'!$E$9</f>
        <v>5.184075</v>
      </c>
      <c r="F38" s="33"/>
      <c r="G38" s="92">
        <f>'3.Riepilogo carichi unitari'!$J$9</f>
        <v>3.9877500000000001</v>
      </c>
      <c r="I38" s="38" t="s">
        <v>122</v>
      </c>
      <c r="J38" s="34"/>
      <c r="K38" s="34"/>
      <c r="L38" s="34"/>
      <c r="M38" s="33">
        <f>'3.Riepilogo carichi unitari'!$E$10</f>
        <v>2.3026249999999999</v>
      </c>
      <c r="N38" s="33"/>
      <c r="O38" s="92">
        <f>'3.Riepilogo carichi unitari'!$J$10</f>
        <v>1.7712499999999998</v>
      </c>
    </row>
    <row r="39" spans="1:15">
      <c r="A39" s="38" t="s">
        <v>123</v>
      </c>
      <c r="B39" s="34"/>
      <c r="C39" s="34"/>
      <c r="D39" s="34"/>
      <c r="E39" s="33" t="s">
        <v>120</v>
      </c>
      <c r="F39" s="33"/>
      <c r="G39" s="92"/>
      <c r="I39" s="38" t="s">
        <v>123</v>
      </c>
      <c r="J39" s="34"/>
      <c r="K39" s="34"/>
      <c r="L39" s="34"/>
      <c r="M39" s="33" t="s">
        <v>120</v>
      </c>
      <c r="N39" s="33"/>
      <c r="O39" s="92"/>
    </row>
    <row r="40" spans="1:15">
      <c r="A40" s="53" t="s">
        <v>49</v>
      </c>
      <c r="B40" s="41"/>
      <c r="C40" s="41"/>
      <c r="D40" s="41"/>
      <c r="E40" s="40">
        <f>SUM(E36:E39)</f>
        <v>36.433928250000008</v>
      </c>
      <c r="F40" s="40">
        <f>SUM(F36:F39)</f>
        <v>12.705</v>
      </c>
      <c r="G40" s="92"/>
      <c r="I40" s="53" t="s">
        <v>49</v>
      </c>
      <c r="J40" s="41"/>
      <c r="K40" s="41"/>
      <c r="L40" s="41"/>
      <c r="M40" s="40">
        <f>SUM(M36:M39)</f>
        <v>30.682261332168576</v>
      </c>
      <c r="N40" s="40">
        <f>SUM(N36:N39)</f>
        <v>11.53807913002605</v>
      </c>
      <c r="O40" s="92"/>
    </row>
    <row r="41" spans="1:15" ht="30">
      <c r="A41" s="82"/>
      <c r="B41" s="83"/>
      <c r="C41" s="83"/>
      <c r="D41" s="84"/>
      <c r="E41" s="349" t="s">
        <v>179</v>
      </c>
      <c r="F41" s="350"/>
      <c r="G41" s="86" t="s">
        <v>178</v>
      </c>
      <c r="I41" s="82"/>
      <c r="J41" s="83"/>
      <c r="K41" s="83"/>
      <c r="L41" s="84"/>
      <c r="M41" s="349" t="s">
        <v>179</v>
      </c>
      <c r="N41" s="350"/>
      <c r="O41" s="86" t="s">
        <v>178</v>
      </c>
    </row>
    <row r="42" spans="1:15">
      <c r="A42" s="53" t="s">
        <v>177</v>
      </c>
      <c r="B42" s="87"/>
      <c r="C42" s="88"/>
      <c r="D42" s="88"/>
      <c r="E42" s="102">
        <f>E40+F40</f>
        <v>49.138928250000006</v>
      </c>
      <c r="F42" s="103"/>
      <c r="G42" s="98">
        <f>SUM(G36:G39)</f>
        <v>29.785252499999999</v>
      </c>
      <c r="I42" s="53" t="s">
        <v>177</v>
      </c>
      <c r="J42" s="87"/>
      <c r="K42" s="88"/>
      <c r="L42" s="88"/>
      <c r="M42" s="102">
        <f>M40+N40</f>
        <v>42.220340462194628</v>
      </c>
      <c r="N42" s="103"/>
      <c r="O42" s="98">
        <f>SUM(O36:O39)</f>
        <v>25.199319673517895</v>
      </c>
    </row>
    <row r="44" spans="1:15" ht="15.75" thickBot="1">
      <c r="A44" s="346" t="s">
        <v>174</v>
      </c>
      <c r="B44" s="347"/>
      <c r="C44" s="347"/>
      <c r="D44" s="347"/>
      <c r="E44" s="347"/>
      <c r="F44" s="348"/>
      <c r="G44" s="85"/>
      <c r="I44" s="346" t="s">
        <v>202</v>
      </c>
      <c r="J44" s="347"/>
      <c r="K44" s="347"/>
      <c r="L44" s="347"/>
      <c r="M44" s="347"/>
      <c r="N44" s="348"/>
      <c r="O44" s="85"/>
    </row>
    <row r="45" spans="1:15" ht="33.75" thickTop="1">
      <c r="A45" s="38"/>
      <c r="B45" s="91" t="s">
        <v>115</v>
      </c>
      <c r="C45" s="89" t="s">
        <v>182</v>
      </c>
      <c r="D45" s="34"/>
      <c r="E45" s="89" t="s">
        <v>180</v>
      </c>
      <c r="F45" s="89" t="s">
        <v>116</v>
      </c>
      <c r="G45" s="90" t="s">
        <v>181</v>
      </c>
      <c r="I45" s="38"/>
      <c r="J45" s="91" t="s">
        <v>115</v>
      </c>
      <c r="K45" s="89" t="s">
        <v>182</v>
      </c>
      <c r="L45" s="34"/>
      <c r="M45" s="89" t="s">
        <v>180</v>
      </c>
      <c r="N45" s="89" t="s">
        <v>116</v>
      </c>
      <c r="O45" s="90" t="s">
        <v>181</v>
      </c>
    </row>
    <row r="46" spans="1:15">
      <c r="A46" s="38" t="s">
        <v>119</v>
      </c>
      <c r="B46" s="34">
        <v>1</v>
      </c>
      <c r="C46" s="33">
        <v>4.62</v>
      </c>
      <c r="D46" s="34">
        <f>B46*(C46/2)</f>
        <v>2.31</v>
      </c>
      <c r="E46" s="33">
        <f>D46*('3.Riepilogo carichi unitari'!$E$4+'3.Riepilogo carichi unitari'!$F$4)</f>
        <v>17.045374500000001</v>
      </c>
      <c r="F46" s="33">
        <f>D46*'3.Riepilogo carichi unitari'!$G$4</f>
        <v>6.93</v>
      </c>
      <c r="G46" s="92">
        <f>D46*'3.Riepilogo carichi unitari'!$J$4</f>
        <v>14.071365</v>
      </c>
      <c r="H46" s="81"/>
      <c r="I46" s="38" t="s">
        <v>119</v>
      </c>
      <c r="J46" s="34">
        <v>1</v>
      </c>
      <c r="K46" s="33">
        <v>5.62</v>
      </c>
      <c r="L46" s="33">
        <f>J46*(K46/2)</f>
        <v>2.81</v>
      </c>
      <c r="M46" s="33">
        <f>L46*('3.Riepilogo carichi unitari'!$E$4+'3.Riepilogo carichi unitari'!$F$4)</f>
        <v>20.734849500000003</v>
      </c>
      <c r="N46" s="33">
        <f>L46*'3.Riepilogo carichi unitari'!$G$4</f>
        <v>8.43</v>
      </c>
      <c r="O46" s="92">
        <f>L46*'3.Riepilogo carichi unitari'!$J$4</f>
        <v>17.117115000000002</v>
      </c>
    </row>
    <row r="47" spans="1:15">
      <c r="A47" s="38" t="s">
        <v>125</v>
      </c>
      <c r="B47" s="34"/>
      <c r="C47" s="34">
        <v>1.85</v>
      </c>
      <c r="D47" s="34">
        <f>(C47)</f>
        <v>1.85</v>
      </c>
      <c r="E47" s="33">
        <f>D47*('3.Riepilogo carichi unitari'!$E$7)</f>
        <v>9.166657500000003</v>
      </c>
      <c r="F47" s="33">
        <f>D47*'3.Riepilogo carichi unitari'!$G$7</f>
        <v>11.100000000000001</v>
      </c>
      <c r="G47" s="92">
        <f>D47*'3.Riepilogo carichi unitari'!$J$7</f>
        <v>11.491275000000002</v>
      </c>
      <c r="H47" s="81"/>
      <c r="I47" s="38" t="s">
        <v>125</v>
      </c>
      <c r="J47" s="34" t="s">
        <v>120</v>
      </c>
      <c r="K47" s="34" t="s">
        <v>120</v>
      </c>
      <c r="L47" s="34" t="s">
        <v>120</v>
      </c>
      <c r="M47" s="34" t="s">
        <v>120</v>
      </c>
      <c r="N47" s="34" t="s">
        <v>120</v>
      </c>
      <c r="O47" s="92"/>
    </row>
    <row r="48" spans="1:15">
      <c r="A48" s="38" t="s">
        <v>122</v>
      </c>
      <c r="B48" s="34"/>
      <c r="C48" s="34"/>
      <c r="D48" s="80"/>
      <c r="E48" s="33">
        <f>'3.Riepilogo carichi unitari'!$E$9</f>
        <v>5.184075</v>
      </c>
      <c r="F48" s="33"/>
      <c r="G48" s="92">
        <f>'3.Riepilogo carichi unitari'!$J$9</f>
        <v>3.9877500000000001</v>
      </c>
      <c r="I48" s="38" t="s">
        <v>122</v>
      </c>
      <c r="J48" s="34"/>
      <c r="K48" s="34"/>
      <c r="L48" s="34"/>
      <c r="M48" s="33">
        <f>'3.Riepilogo carichi unitari'!$E$9</f>
        <v>5.184075</v>
      </c>
      <c r="N48" s="33"/>
      <c r="O48" s="92">
        <f>'3.Riepilogo carichi unitari'!$J$9</f>
        <v>3.9877500000000001</v>
      </c>
    </row>
    <row r="49" spans="1:15">
      <c r="A49" s="38" t="s">
        <v>123</v>
      </c>
      <c r="B49" s="34"/>
      <c r="C49" s="34"/>
      <c r="D49" s="34"/>
      <c r="E49" s="33">
        <f>'3.Riepilogo carichi unitari'!$E$11</f>
        <v>7.8416000000000015</v>
      </c>
      <c r="F49" s="33"/>
      <c r="G49" s="92">
        <f>'3.Riepilogo carichi unitari'!$J$11</f>
        <v>6.0320000000000009</v>
      </c>
      <c r="I49" s="38" t="s">
        <v>123</v>
      </c>
      <c r="J49" s="34"/>
      <c r="K49" s="34"/>
      <c r="L49" s="34"/>
      <c r="M49" s="33">
        <f>'3.Riepilogo carichi unitari'!$E$11</f>
        <v>7.8416000000000015</v>
      </c>
      <c r="N49" s="33"/>
      <c r="O49" s="92">
        <f>'3.Riepilogo carichi unitari'!$J$11</f>
        <v>6.0320000000000009</v>
      </c>
    </row>
    <row r="50" spans="1:15">
      <c r="A50" s="53" t="s">
        <v>49</v>
      </c>
      <c r="B50" s="41"/>
      <c r="C50" s="41"/>
      <c r="D50" s="41"/>
      <c r="E50" s="40">
        <f>SUM(E46:E49)</f>
        <v>39.237707000000007</v>
      </c>
      <c r="F50" s="40">
        <f>SUM(F46:F49)</f>
        <v>18.03</v>
      </c>
      <c r="G50" s="92"/>
      <c r="I50" s="53" t="s">
        <v>49</v>
      </c>
      <c r="J50" s="41"/>
      <c r="K50" s="41"/>
      <c r="L50" s="41"/>
      <c r="M50" s="40">
        <f>SUM(M46:M49)</f>
        <v>33.760524500000002</v>
      </c>
      <c r="N50" s="40">
        <f>SUM(N46:N49)</f>
        <v>8.43</v>
      </c>
      <c r="O50" s="92"/>
    </row>
    <row r="51" spans="1:15" ht="30">
      <c r="A51" s="82"/>
      <c r="B51" s="83"/>
      <c r="C51" s="83"/>
      <c r="D51" s="84"/>
      <c r="E51" s="349" t="s">
        <v>179</v>
      </c>
      <c r="F51" s="350"/>
      <c r="G51" s="86" t="s">
        <v>178</v>
      </c>
      <c r="I51" s="82"/>
      <c r="J51" s="83"/>
      <c r="K51" s="83"/>
      <c r="L51" s="84"/>
      <c r="M51" s="349" t="s">
        <v>179</v>
      </c>
      <c r="N51" s="350"/>
      <c r="O51" s="86" t="s">
        <v>178</v>
      </c>
    </row>
    <row r="52" spans="1:15">
      <c r="A52" s="53" t="s">
        <v>177</v>
      </c>
      <c r="B52" s="87"/>
      <c r="C52" s="88"/>
      <c r="D52" s="88"/>
      <c r="E52" s="102">
        <f>E50+F50</f>
        <v>57.267707000000009</v>
      </c>
      <c r="F52" s="103"/>
      <c r="G52" s="98">
        <f>SUM(G46:G49)</f>
        <v>35.582390000000004</v>
      </c>
      <c r="I52" s="53" t="s">
        <v>177</v>
      </c>
      <c r="J52" s="87"/>
      <c r="K52" s="88"/>
      <c r="L52" s="88"/>
      <c r="M52" s="102">
        <f>M50+N50</f>
        <v>42.190524500000002</v>
      </c>
      <c r="N52" s="103"/>
      <c r="O52" s="98">
        <f>SUM(O46:O49)</f>
        <v>27.136865000000004</v>
      </c>
    </row>
    <row r="53" spans="1:15">
      <c r="A53" s="54"/>
      <c r="B53" s="34"/>
      <c r="C53" s="34"/>
      <c r="D53" s="34"/>
      <c r="E53" s="33"/>
      <c r="F53" s="33"/>
      <c r="G53" s="55"/>
      <c r="H53" s="31"/>
      <c r="I53" s="56"/>
      <c r="J53" s="34"/>
      <c r="K53" s="34"/>
      <c r="L53" s="34"/>
      <c r="M53" s="33"/>
      <c r="N53" s="33"/>
      <c r="O53" s="55"/>
    </row>
    <row r="54" spans="1:15" ht="15.75" thickBot="1">
      <c r="A54" s="343" t="s">
        <v>201</v>
      </c>
      <c r="B54" s="344"/>
      <c r="C54" s="344"/>
      <c r="D54" s="344"/>
      <c r="E54" s="344"/>
      <c r="F54" s="345"/>
      <c r="G54" s="85"/>
      <c r="I54" s="346" t="s">
        <v>200</v>
      </c>
      <c r="J54" s="347"/>
      <c r="K54" s="347"/>
      <c r="L54" s="347"/>
      <c r="M54" s="347"/>
      <c r="N54" s="348"/>
      <c r="O54" s="85"/>
    </row>
    <row r="55" spans="1:15" ht="33.75" thickTop="1">
      <c r="A55" s="38"/>
      <c r="B55" s="91" t="s">
        <v>115</v>
      </c>
      <c r="C55" s="89" t="s">
        <v>182</v>
      </c>
      <c r="D55" s="34"/>
      <c r="E55" s="89" t="s">
        <v>180</v>
      </c>
      <c r="F55" s="89" t="s">
        <v>116</v>
      </c>
      <c r="G55" s="90" t="s">
        <v>181</v>
      </c>
      <c r="I55" s="38"/>
      <c r="J55" s="91" t="s">
        <v>115</v>
      </c>
      <c r="K55" s="89" t="s">
        <v>182</v>
      </c>
      <c r="L55" s="75"/>
      <c r="M55" s="89" t="s">
        <v>180</v>
      </c>
      <c r="N55" s="89" t="s">
        <v>116</v>
      </c>
      <c r="O55" s="90" t="s">
        <v>181</v>
      </c>
    </row>
    <row r="56" spans="1:15">
      <c r="A56" s="38" t="s">
        <v>124</v>
      </c>
      <c r="B56" s="34">
        <v>1.2</v>
      </c>
      <c r="C56" s="33">
        <v>6.28</v>
      </c>
      <c r="D56" s="33">
        <f>B56*(C56/2)</f>
        <v>3.7679999999999998</v>
      </c>
      <c r="E56" s="33">
        <f>D56*('3.Riepilogo carichi unitari'!$E$8)</f>
        <v>34.80563910957661</v>
      </c>
      <c r="F56" s="33">
        <f>D56*'3.Riepilogo carichi unitari'!$G$8</f>
        <v>22.607999999999997</v>
      </c>
      <c r="G56" s="92">
        <f>D56*'3.Riepilogo carichi unitari'!$J$8</f>
        <v>35.816768545828161</v>
      </c>
      <c r="I56" s="38" t="s">
        <v>119</v>
      </c>
      <c r="J56" s="75" t="s">
        <v>120</v>
      </c>
      <c r="K56" s="75" t="s">
        <v>120</v>
      </c>
      <c r="L56" s="75" t="s">
        <v>120</v>
      </c>
      <c r="M56" s="75" t="s">
        <v>120</v>
      </c>
      <c r="N56" s="75" t="s">
        <v>120</v>
      </c>
      <c r="O56" s="92"/>
    </row>
    <row r="57" spans="1:15">
      <c r="A57" s="38" t="s">
        <v>121</v>
      </c>
      <c r="B57" s="34">
        <v>1.2</v>
      </c>
      <c r="C57" s="34">
        <v>5.62</v>
      </c>
      <c r="D57" s="33">
        <f>B57*(C57/2)</f>
        <v>3.3719999999999999</v>
      </c>
      <c r="E57" s="33">
        <f>D57*('3.Riepilogo carichi unitari'!$E$4+'3.Riepilogo carichi unitari'!$F$4)</f>
        <v>24.881819400000001</v>
      </c>
      <c r="F57" s="33">
        <f>D57*'3.Riepilogo carichi unitari'!$G$4</f>
        <v>10.116</v>
      </c>
      <c r="G57" s="92">
        <f>D57*'3.Riepilogo carichi unitari'!$J$4</f>
        <v>20.540537999999998</v>
      </c>
      <c r="I57" s="38" t="s">
        <v>199</v>
      </c>
      <c r="J57" s="75">
        <v>1</v>
      </c>
      <c r="K57" s="33">
        <v>6.28</v>
      </c>
      <c r="L57" s="33">
        <f>J57*(K57/2)</f>
        <v>3.14</v>
      </c>
      <c r="M57" s="33">
        <f>L57*('3.Riepilogo carichi unitari'!$E$8)</f>
        <v>29.004699257980512</v>
      </c>
      <c r="N57" s="33">
        <f>L57*'3.Riepilogo carichi unitari'!$G$8</f>
        <v>18.84</v>
      </c>
      <c r="O57" s="92">
        <f>L57*'3.Riepilogo carichi unitari'!$J$8</f>
        <v>29.847307121523468</v>
      </c>
    </row>
    <row r="58" spans="1:15">
      <c r="A58" s="38" t="s">
        <v>122</v>
      </c>
      <c r="B58" s="34"/>
      <c r="C58" s="34"/>
      <c r="D58" s="34"/>
      <c r="E58" s="33">
        <f>'3.Riepilogo carichi unitari'!$E$10</f>
        <v>2.3026249999999999</v>
      </c>
      <c r="F58" s="33"/>
      <c r="G58" s="92">
        <f>'3.Riepilogo carichi unitari'!$J$10</f>
        <v>1.7712499999999998</v>
      </c>
      <c r="I58" s="38" t="s">
        <v>122</v>
      </c>
      <c r="J58" s="75"/>
      <c r="K58" s="75"/>
      <c r="L58" s="75"/>
      <c r="M58" s="33">
        <f>'3.Riepilogo carichi unitari'!$E$9</f>
        <v>5.184075</v>
      </c>
      <c r="N58" s="33"/>
      <c r="O58" s="92">
        <f>'3.Riepilogo carichi unitari'!$J$9</f>
        <v>3.9877500000000001</v>
      </c>
    </row>
    <row r="59" spans="1:15">
      <c r="A59" s="38" t="s">
        <v>123</v>
      </c>
      <c r="B59" s="34"/>
      <c r="C59" s="34"/>
      <c r="D59" s="34"/>
      <c r="E59" s="33" t="s">
        <v>120</v>
      </c>
      <c r="F59" s="33"/>
      <c r="G59" s="92"/>
      <c r="I59" s="38" t="s">
        <v>123</v>
      </c>
      <c r="J59" s="75"/>
      <c r="K59" s="75"/>
      <c r="L59" s="75"/>
      <c r="M59" s="33" t="s">
        <v>120</v>
      </c>
      <c r="N59" s="33"/>
      <c r="O59" s="92"/>
    </row>
    <row r="60" spans="1:15">
      <c r="A60" s="53" t="s">
        <v>49</v>
      </c>
      <c r="B60" s="41"/>
      <c r="C60" s="41"/>
      <c r="D60" s="41"/>
      <c r="E60" s="40">
        <f>SUM(E56:E59)</f>
        <v>61.990083509576614</v>
      </c>
      <c r="F60" s="40">
        <f>SUM(F56:F59)</f>
        <v>32.723999999999997</v>
      </c>
      <c r="G60" s="92"/>
      <c r="I60" s="53" t="s">
        <v>49</v>
      </c>
      <c r="J60" s="41"/>
      <c r="K60" s="41"/>
      <c r="L60" s="41"/>
      <c r="M60" s="40">
        <f>SUM(M57:M59)</f>
        <v>34.188774257980512</v>
      </c>
      <c r="N60" s="40">
        <f>SUM(N57:N59)</f>
        <v>18.84</v>
      </c>
      <c r="O60" s="92"/>
    </row>
    <row r="61" spans="1:15" ht="33.75" customHeight="1">
      <c r="A61" s="82"/>
      <c r="B61" s="83"/>
      <c r="C61" s="83"/>
      <c r="D61" s="84"/>
      <c r="E61" s="349" t="s">
        <v>179</v>
      </c>
      <c r="F61" s="350"/>
      <c r="G61" s="86" t="s">
        <v>178</v>
      </c>
      <c r="I61" s="82"/>
      <c r="J61" s="83"/>
      <c r="K61" s="83"/>
      <c r="L61" s="84"/>
      <c r="M61" s="349" t="s">
        <v>179</v>
      </c>
      <c r="N61" s="350"/>
      <c r="O61" s="86" t="s">
        <v>178</v>
      </c>
    </row>
    <row r="62" spans="1:15">
      <c r="A62" s="53" t="s">
        <v>177</v>
      </c>
      <c r="B62" s="87"/>
      <c r="C62" s="88"/>
      <c r="D62" s="88"/>
      <c r="E62" s="102">
        <f>E60+F60</f>
        <v>94.714083509576611</v>
      </c>
      <c r="F62" s="103"/>
      <c r="G62" s="98">
        <f>SUM(G56:G59)</f>
        <v>58.128556545828161</v>
      </c>
      <c r="I62" s="53" t="s">
        <v>177</v>
      </c>
      <c r="J62" s="87"/>
      <c r="K62" s="88"/>
      <c r="L62" s="88"/>
      <c r="M62" s="102">
        <f>M60+N60</f>
        <v>53.028774257980515</v>
      </c>
      <c r="N62" s="103"/>
      <c r="O62" s="98">
        <f>SUM(O57:O59)</f>
        <v>33.835057121523469</v>
      </c>
    </row>
    <row r="63" spans="1:15">
      <c r="A63" s="56"/>
      <c r="B63" s="31"/>
      <c r="C63" s="31"/>
      <c r="D63" s="56"/>
      <c r="E63" s="56"/>
      <c r="F63" s="56"/>
      <c r="G63" s="56"/>
      <c r="I63" s="56"/>
      <c r="J63" s="31"/>
      <c r="K63" s="31"/>
      <c r="L63" s="31"/>
      <c r="M63" s="104"/>
      <c r="N63" s="104"/>
      <c r="O63" s="105"/>
    </row>
    <row r="65" spans="1:20">
      <c r="A65" s="351" t="s">
        <v>175</v>
      </c>
      <c r="B65" s="351"/>
      <c r="C65" s="351"/>
      <c r="D65" s="351"/>
      <c r="E65" s="351"/>
      <c r="F65" s="351"/>
      <c r="G65" s="351"/>
      <c r="H65" s="78"/>
      <c r="I65" s="78"/>
      <c r="J65" s="78"/>
      <c r="K65" s="78"/>
      <c r="L65" s="78"/>
      <c r="M65" s="78"/>
      <c r="N65" s="78"/>
      <c r="O65" s="78"/>
    </row>
    <row r="66" spans="1:20">
      <c r="A66" s="352"/>
      <c r="B66" s="352"/>
      <c r="C66" s="352"/>
      <c r="D66" s="352"/>
      <c r="E66" s="352"/>
      <c r="F66" s="352"/>
      <c r="G66" s="352"/>
      <c r="H66" s="79"/>
      <c r="I66" s="79"/>
      <c r="J66" s="79"/>
      <c r="K66" s="79"/>
      <c r="L66" s="79"/>
      <c r="M66" s="79"/>
      <c r="N66" s="79"/>
      <c r="O66" s="79"/>
    </row>
    <row r="68" spans="1:20" ht="15.75" thickBot="1">
      <c r="A68" s="343" t="s">
        <v>185</v>
      </c>
      <c r="B68" s="344"/>
      <c r="C68" s="344"/>
      <c r="D68" s="344"/>
      <c r="E68" s="344"/>
      <c r="F68" s="345"/>
      <c r="H68" s="343" t="s">
        <v>468</v>
      </c>
      <c r="I68" s="344"/>
      <c r="J68" s="344"/>
      <c r="K68" s="344"/>
      <c r="L68" s="344"/>
      <c r="M68" s="345"/>
      <c r="O68" s="343" t="s">
        <v>472</v>
      </c>
      <c r="P68" s="344"/>
      <c r="Q68" s="344"/>
      <c r="R68" s="344"/>
      <c r="S68" s="344"/>
      <c r="T68" s="345"/>
    </row>
    <row r="69" spans="1:20" ht="38.25" customHeight="1" thickTop="1">
      <c r="A69" s="38"/>
      <c r="B69" s="353" t="s">
        <v>183</v>
      </c>
      <c r="C69" s="353"/>
      <c r="D69" s="89" t="s">
        <v>180</v>
      </c>
      <c r="E69" s="89" t="s">
        <v>116</v>
      </c>
      <c r="F69" s="90" t="s">
        <v>181</v>
      </c>
      <c r="H69" s="38"/>
      <c r="I69" s="353" t="s">
        <v>183</v>
      </c>
      <c r="J69" s="353"/>
      <c r="K69" s="308" t="s">
        <v>180</v>
      </c>
      <c r="L69" s="308" t="s">
        <v>116</v>
      </c>
      <c r="M69" s="90" t="s">
        <v>181</v>
      </c>
      <c r="O69" s="38"/>
      <c r="P69" s="353" t="s">
        <v>183</v>
      </c>
      <c r="Q69" s="353"/>
      <c r="R69" s="308" t="s">
        <v>180</v>
      </c>
      <c r="S69" s="308" t="s">
        <v>116</v>
      </c>
      <c r="T69" s="90" t="s">
        <v>181</v>
      </c>
    </row>
    <row r="70" spans="1:20">
      <c r="A70" s="38" t="s">
        <v>119</v>
      </c>
      <c r="B70" s="325">
        <v>0.5</v>
      </c>
      <c r="C70" s="325"/>
      <c r="D70" s="33">
        <f>B70*('3.Riepilogo carichi unitari'!$E$4+'3.Riepilogo carichi unitari'!$F$4)</f>
        <v>3.6894750000000003</v>
      </c>
      <c r="E70" s="33">
        <f>B70*'3.Riepilogo carichi unitari'!$G$4</f>
        <v>1.5</v>
      </c>
      <c r="F70" s="92">
        <f>B70*'3.Riepilogo carichi unitari'!$J$4</f>
        <v>3.04575</v>
      </c>
      <c r="H70" s="38" t="s">
        <v>467</v>
      </c>
      <c r="I70" s="325">
        <v>0.5</v>
      </c>
      <c r="J70" s="325"/>
      <c r="K70" s="33">
        <f>I70*('3.Riepilogo carichi unitari'!$E$4+'3.Riepilogo carichi unitari'!$F$4)</f>
        <v>3.6894750000000003</v>
      </c>
      <c r="L70" s="33">
        <f>I70*'3.Riepilogo carichi unitari'!$G$4</f>
        <v>1.5</v>
      </c>
      <c r="M70" s="92">
        <f>I70*'3.Riepilogo carichi unitari'!$J$4</f>
        <v>3.04575</v>
      </c>
      <c r="O70" s="38" t="s">
        <v>119</v>
      </c>
      <c r="P70" s="325">
        <v>0.5</v>
      </c>
      <c r="Q70" s="325"/>
      <c r="R70" s="33">
        <f>P70*('3.Riepilogo carichi unitari'!$E$4+'3.Riepilogo carichi unitari'!$F$4)</f>
        <v>3.6894750000000003</v>
      </c>
      <c r="S70" s="33">
        <f>P70*'3.Riepilogo carichi unitari'!$G$4</f>
        <v>1.5</v>
      </c>
      <c r="T70" s="92">
        <f>P70*'3.Riepilogo carichi unitari'!$J$4</f>
        <v>3.04575</v>
      </c>
    </row>
    <row r="71" spans="1:20">
      <c r="A71" s="38" t="s">
        <v>121</v>
      </c>
      <c r="B71" s="325">
        <v>0.5</v>
      </c>
      <c r="C71" s="325"/>
      <c r="D71" s="33">
        <f>B71*('3.Riepilogo carichi unitari'!$E$4+'3.Riepilogo carichi unitari'!$F$4)</f>
        <v>3.6894750000000003</v>
      </c>
      <c r="E71" s="33">
        <f>B71*'3.Riepilogo carichi unitari'!$G$4</f>
        <v>1.5</v>
      </c>
      <c r="F71" s="92">
        <f>B71*'3.Riepilogo carichi unitari'!$J$4</f>
        <v>3.04575</v>
      </c>
      <c r="H71" s="38"/>
      <c r="I71" s="325"/>
      <c r="J71" s="325"/>
      <c r="K71" s="33"/>
      <c r="L71" s="33"/>
      <c r="M71" s="92"/>
      <c r="O71" s="38" t="s">
        <v>473</v>
      </c>
      <c r="P71" s="325">
        <v>0.5</v>
      </c>
      <c r="Q71" s="325"/>
      <c r="R71" s="33">
        <f>P71*('3.Riepilogo carichi unitari'!$E$8)</f>
        <v>4.618582684391801</v>
      </c>
      <c r="S71" s="33">
        <f>P71*'3.Riepilogo carichi unitari'!$G$8</f>
        <v>3</v>
      </c>
      <c r="T71" s="92">
        <f>P71*'3.Riepilogo carichi unitari'!$J$8</f>
        <v>4.7527559110706159</v>
      </c>
    </row>
    <row r="72" spans="1:20">
      <c r="A72" s="38" t="s">
        <v>122</v>
      </c>
      <c r="B72" s="34"/>
      <c r="C72" s="34"/>
      <c r="D72" s="33">
        <f>'3.Riepilogo carichi unitari'!$E$10</f>
        <v>2.3026249999999999</v>
      </c>
      <c r="E72" s="33"/>
      <c r="F72" s="92">
        <f>'3.Riepilogo carichi unitari'!$J$10</f>
        <v>1.7712499999999998</v>
      </c>
      <c r="H72" s="38" t="s">
        <v>122</v>
      </c>
      <c r="I72" s="307"/>
      <c r="J72" s="307"/>
      <c r="K72" s="33">
        <f>'3.Riepilogo carichi unitari'!$E$9</f>
        <v>5.184075</v>
      </c>
      <c r="L72" s="33"/>
      <c r="M72" s="92">
        <f>'3.Riepilogo carichi unitari'!$J$10</f>
        <v>1.7712499999999998</v>
      </c>
      <c r="O72" s="38" t="s">
        <v>122</v>
      </c>
      <c r="P72" s="307"/>
      <c r="Q72" s="307"/>
      <c r="R72" s="33">
        <f>'3.Riepilogo carichi unitari'!$E$9</f>
        <v>5.184075</v>
      </c>
      <c r="S72" s="33"/>
      <c r="T72" s="92">
        <f>'3.Riepilogo carichi unitari'!$J$10</f>
        <v>1.7712499999999998</v>
      </c>
    </row>
    <row r="73" spans="1:20">
      <c r="A73" s="53"/>
      <c r="B73" s="41"/>
      <c r="C73" s="41"/>
      <c r="D73" s="40">
        <f>SUM(D70:D72)</f>
        <v>9.6815750000000005</v>
      </c>
      <c r="E73" s="40">
        <f>SUM(E70:E72)</f>
        <v>3</v>
      </c>
      <c r="F73" s="92"/>
      <c r="H73" s="53"/>
      <c r="I73" s="41"/>
      <c r="J73" s="41"/>
      <c r="K73" s="40">
        <f>SUM(K70:K72)</f>
        <v>8.8735499999999998</v>
      </c>
      <c r="L73" s="40">
        <f>SUM(L70:L72)</f>
        <v>1.5</v>
      </c>
      <c r="M73" s="92"/>
      <c r="O73" s="53"/>
      <c r="P73" s="41"/>
      <c r="Q73" s="41"/>
      <c r="R73" s="40">
        <f>SUM(R70:R72)</f>
        <v>13.492132684391802</v>
      </c>
      <c r="S73" s="40">
        <f>SUM(S70:S72)</f>
        <v>4.5</v>
      </c>
      <c r="T73" s="92"/>
    </row>
    <row r="74" spans="1:20" ht="33" customHeight="1">
      <c r="A74" s="82"/>
      <c r="B74" s="83"/>
      <c r="C74" s="83"/>
      <c r="D74" s="349" t="s">
        <v>179</v>
      </c>
      <c r="E74" s="350"/>
      <c r="F74" s="86" t="s">
        <v>178</v>
      </c>
      <c r="H74" s="82"/>
      <c r="I74" s="83"/>
      <c r="J74" s="83"/>
      <c r="K74" s="349" t="s">
        <v>179</v>
      </c>
      <c r="L74" s="350"/>
      <c r="M74" s="311" t="s">
        <v>178</v>
      </c>
      <c r="O74" s="82"/>
      <c r="P74" s="83"/>
      <c r="Q74" s="83"/>
      <c r="R74" s="349" t="s">
        <v>179</v>
      </c>
      <c r="S74" s="350"/>
      <c r="T74" s="311" t="s">
        <v>178</v>
      </c>
    </row>
    <row r="75" spans="1:20">
      <c r="A75" s="53" t="s">
        <v>177</v>
      </c>
      <c r="B75" s="87"/>
      <c r="C75" s="88"/>
      <c r="D75" s="102">
        <f>D73+E73</f>
        <v>12.681575</v>
      </c>
      <c r="E75" s="103"/>
      <c r="F75" s="98">
        <f>SUM(F70:F72)</f>
        <v>7.8627500000000001</v>
      </c>
      <c r="H75" s="53" t="s">
        <v>177</v>
      </c>
      <c r="I75" s="87"/>
      <c r="J75" s="88"/>
      <c r="K75" s="102">
        <f>K73+L73</f>
        <v>10.37355</v>
      </c>
      <c r="L75" s="103"/>
      <c r="M75" s="98">
        <f>SUM(M70:M72)</f>
        <v>4.8170000000000002</v>
      </c>
      <c r="O75" s="53" t="s">
        <v>177</v>
      </c>
      <c r="P75" s="87"/>
      <c r="Q75" s="88"/>
      <c r="R75" s="102">
        <f>R73+S73</f>
        <v>17.992132684391802</v>
      </c>
      <c r="S75" s="103"/>
      <c r="T75" s="98">
        <f>SUM(T70:T72)</f>
        <v>9.5697559110706152</v>
      </c>
    </row>
    <row r="78" spans="1:20" ht="15" customHeight="1">
      <c r="A78" s="351" t="s">
        <v>176</v>
      </c>
      <c r="B78" s="351"/>
      <c r="C78" s="351"/>
      <c r="D78" s="351"/>
      <c r="E78" s="351"/>
      <c r="F78" s="351"/>
      <c r="G78" s="351"/>
      <c r="H78" s="78"/>
      <c r="I78" s="78"/>
      <c r="J78" s="78"/>
      <c r="K78" s="78"/>
      <c r="L78" s="78"/>
      <c r="M78" s="78"/>
      <c r="N78" s="78"/>
      <c r="O78" s="78"/>
    </row>
    <row r="79" spans="1:20" ht="15" customHeight="1">
      <c r="A79" s="352"/>
      <c r="B79" s="352"/>
      <c r="C79" s="352"/>
      <c r="D79" s="352"/>
      <c r="E79" s="352"/>
      <c r="F79" s="352"/>
      <c r="G79" s="352"/>
      <c r="H79" s="79"/>
      <c r="I79" s="79"/>
      <c r="J79" s="79"/>
      <c r="K79" s="79"/>
      <c r="L79" s="79"/>
      <c r="M79" s="79"/>
      <c r="N79" s="79"/>
      <c r="O79" s="79"/>
    </row>
    <row r="81" spans="1:7">
      <c r="A81" s="354" t="s">
        <v>184</v>
      </c>
      <c r="B81" s="355"/>
      <c r="C81" s="355"/>
      <c r="D81" s="355"/>
      <c r="E81" s="355"/>
      <c r="F81" s="355"/>
      <c r="G81" s="356"/>
    </row>
    <row r="82" spans="1:7" ht="33">
      <c r="A82" s="38"/>
      <c r="B82" s="91"/>
      <c r="C82" s="89" t="s">
        <v>182</v>
      </c>
      <c r="D82" s="75"/>
      <c r="E82" s="89" t="s">
        <v>180</v>
      </c>
      <c r="F82" s="89" t="s">
        <v>116</v>
      </c>
      <c r="G82" s="90" t="s">
        <v>181</v>
      </c>
    </row>
    <row r="83" spans="1:7">
      <c r="A83" s="38" t="s">
        <v>119</v>
      </c>
      <c r="B83" s="75">
        <v>2</v>
      </c>
      <c r="C83" s="33">
        <v>1.85</v>
      </c>
      <c r="D83" s="33">
        <f>B83*(C83)</f>
        <v>3.7</v>
      </c>
      <c r="E83" s="33">
        <f>D83*('3.Riepilogo carichi unitari'!$E$7)</f>
        <v>18.333315000000006</v>
      </c>
      <c r="F83" s="33">
        <f>D83*'3.Riepilogo carichi unitari'!$G$7</f>
        <v>22.200000000000003</v>
      </c>
      <c r="G83" s="92">
        <f>D83*'3.Riepilogo carichi unitari'!$J$7</f>
        <v>22.982550000000003</v>
      </c>
    </row>
    <row r="84" spans="1:7">
      <c r="A84" s="38" t="s">
        <v>122</v>
      </c>
      <c r="B84" s="75"/>
      <c r="C84" s="75"/>
      <c r="D84" s="75"/>
      <c r="E84" s="33">
        <f>'3.Riepilogo carichi unitari'!$E$9</f>
        <v>5.184075</v>
      </c>
      <c r="F84" s="33"/>
      <c r="G84" s="92">
        <f>'3.Riepilogo carichi unitari'!$J$7</f>
        <v>6.2115000000000009</v>
      </c>
    </row>
    <row r="85" spans="1:7">
      <c r="A85" s="53"/>
      <c r="B85" s="41"/>
      <c r="C85" s="41"/>
      <c r="D85" s="41"/>
      <c r="E85" s="40">
        <f>SUM(E83:E84)</f>
        <v>23.517390000000006</v>
      </c>
      <c r="F85" s="40">
        <f>SUM(F83:F84)</f>
        <v>22.200000000000003</v>
      </c>
      <c r="G85" s="92"/>
    </row>
    <row r="86" spans="1:7" ht="30">
      <c r="A86" s="82"/>
      <c r="B86" s="83"/>
      <c r="C86" s="83"/>
      <c r="D86" s="84"/>
      <c r="E86" s="349" t="s">
        <v>179</v>
      </c>
      <c r="F86" s="350"/>
      <c r="G86" s="86" t="s">
        <v>178</v>
      </c>
    </row>
    <row r="87" spans="1:7">
      <c r="A87" s="53" t="s">
        <v>177</v>
      </c>
      <c r="B87" s="87"/>
      <c r="C87" s="88"/>
      <c r="D87" s="88"/>
      <c r="E87" s="102">
        <f>E85+F85</f>
        <v>45.717390000000009</v>
      </c>
      <c r="F87" s="103"/>
      <c r="G87" s="98">
        <f>SUM(G83:G84)</f>
        <v>29.194050000000004</v>
      </c>
    </row>
  </sheetData>
  <mergeCells count="44">
    <mergeCell ref="K74:L74"/>
    <mergeCell ref="O68:T68"/>
    <mergeCell ref="P69:Q69"/>
    <mergeCell ref="P70:Q70"/>
    <mergeCell ref="P71:Q71"/>
    <mergeCell ref="R74:S74"/>
    <mergeCell ref="M51:N51"/>
    <mergeCell ref="I54:N54"/>
    <mergeCell ref="M61:N61"/>
    <mergeCell ref="E86:F86"/>
    <mergeCell ref="B69:C69"/>
    <mergeCell ref="B70:C70"/>
    <mergeCell ref="B71:C71"/>
    <mergeCell ref="A81:G81"/>
    <mergeCell ref="D74:E74"/>
    <mergeCell ref="A78:G79"/>
    <mergeCell ref="A68:F68"/>
    <mergeCell ref="A65:G66"/>
    <mergeCell ref="H68:M68"/>
    <mergeCell ref="I69:J69"/>
    <mergeCell ref="I70:J70"/>
    <mergeCell ref="I71:J71"/>
    <mergeCell ref="A1:G2"/>
    <mergeCell ref="E11:F11"/>
    <mergeCell ref="E51:F51"/>
    <mergeCell ref="E61:F61"/>
    <mergeCell ref="E31:F31"/>
    <mergeCell ref="E41:F41"/>
    <mergeCell ref="A14:F14"/>
    <mergeCell ref="A54:F54"/>
    <mergeCell ref="A4:F4"/>
    <mergeCell ref="E21:F21"/>
    <mergeCell ref="A34:F34"/>
    <mergeCell ref="I4:N4"/>
    <mergeCell ref="A44:F44"/>
    <mergeCell ref="I44:N44"/>
    <mergeCell ref="A24:F24"/>
    <mergeCell ref="I24:N24"/>
    <mergeCell ref="I34:N34"/>
    <mergeCell ref="M11:N11"/>
    <mergeCell ref="M21:N21"/>
    <mergeCell ref="I14:N14"/>
    <mergeCell ref="M31:N31"/>
    <mergeCell ref="M41:N41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7"/>
  <sheetViews>
    <sheetView topLeftCell="A71" workbookViewId="0">
      <selection activeCell="M17" sqref="M17:O17"/>
    </sheetView>
  </sheetViews>
  <sheetFormatPr defaultRowHeight="15"/>
  <cols>
    <col min="1" max="1" width="15" customWidth="1"/>
    <col min="2" max="4" width="11.7109375" customWidth="1"/>
    <col min="5" max="5" width="10" customWidth="1"/>
    <col min="6" max="6" width="11" customWidth="1"/>
    <col min="7" max="7" width="12.42578125" customWidth="1"/>
    <col min="8" max="8" width="14.140625" customWidth="1"/>
    <col min="9" max="9" width="15" customWidth="1"/>
    <col min="15" max="15" width="15.5703125" customWidth="1"/>
    <col min="23" max="23" width="11.85546875" customWidth="1"/>
  </cols>
  <sheetData>
    <row r="1" spans="1:15" ht="15" customHeight="1">
      <c r="A1" s="351" t="s">
        <v>459</v>
      </c>
      <c r="B1" s="351"/>
      <c r="C1" s="351"/>
      <c r="D1" s="351"/>
      <c r="E1" s="351"/>
      <c r="F1" s="351"/>
      <c r="G1" s="351"/>
      <c r="H1" s="351"/>
      <c r="I1" s="78"/>
      <c r="J1" s="78"/>
      <c r="K1" s="78"/>
      <c r="L1" s="78"/>
      <c r="M1" s="78"/>
      <c r="N1" s="78"/>
      <c r="O1" s="78"/>
    </row>
    <row r="2" spans="1:15" ht="15" customHeight="1">
      <c r="A2" s="352"/>
      <c r="B2" s="352"/>
      <c r="C2" s="352"/>
      <c r="D2" s="352"/>
      <c r="E2" s="352"/>
      <c r="F2" s="352"/>
      <c r="G2" s="352"/>
      <c r="H2" s="352"/>
      <c r="I2" s="79"/>
      <c r="J2" s="79"/>
      <c r="K2" s="79"/>
      <c r="L2" s="79"/>
      <c r="M2" s="79"/>
      <c r="N2" s="79"/>
      <c r="O2" s="79"/>
    </row>
    <row r="4" spans="1:15" ht="15.75" thickBot="1">
      <c r="A4" s="360" t="s">
        <v>166</v>
      </c>
      <c r="B4" s="361"/>
      <c r="C4" s="361"/>
      <c r="D4" s="361"/>
      <c r="E4" s="361"/>
      <c r="F4" s="361"/>
      <c r="G4" s="85"/>
      <c r="I4" s="357" t="s">
        <v>167</v>
      </c>
      <c r="J4" s="358"/>
      <c r="K4" s="358"/>
      <c r="L4" s="358"/>
      <c r="M4" s="358"/>
      <c r="N4" s="359"/>
      <c r="O4" s="85"/>
    </row>
    <row r="5" spans="1:15" ht="33" customHeight="1" thickTop="1">
      <c r="A5" s="38"/>
      <c r="B5" s="91" t="s">
        <v>115</v>
      </c>
      <c r="C5" s="308" t="s">
        <v>182</v>
      </c>
      <c r="D5" s="307"/>
      <c r="E5" s="308" t="s">
        <v>180</v>
      </c>
      <c r="F5" s="308" t="s">
        <v>116</v>
      </c>
      <c r="G5" s="90" t="s">
        <v>181</v>
      </c>
      <c r="I5" s="38"/>
      <c r="J5" s="91" t="s">
        <v>115</v>
      </c>
      <c r="K5" s="308" t="s">
        <v>182</v>
      </c>
      <c r="L5" s="307"/>
      <c r="M5" s="308" t="s">
        <v>180</v>
      </c>
      <c r="N5" s="308" t="s">
        <v>116</v>
      </c>
      <c r="O5" s="90" t="s">
        <v>181</v>
      </c>
    </row>
    <row r="6" spans="1:15">
      <c r="A6" s="38" t="s">
        <v>117</v>
      </c>
      <c r="B6" s="307"/>
      <c r="C6" s="307">
        <v>1.85</v>
      </c>
      <c r="D6" s="307">
        <f>(C6)</f>
        <v>1.85</v>
      </c>
      <c r="E6" s="33">
        <f>D6*('3.Riepilogo carichi unitari'!$E$7)</f>
        <v>9.166657500000003</v>
      </c>
      <c r="F6" s="33">
        <f>D6*'3.Riepilogo carichi unitari'!$G$7</f>
        <v>11.100000000000001</v>
      </c>
      <c r="G6" s="92">
        <f>D6*'3.Riepilogo carichi unitari'!$J$7</f>
        <v>11.491275000000002</v>
      </c>
      <c r="H6" s="97"/>
      <c r="I6" s="38" t="s">
        <v>118</v>
      </c>
      <c r="J6" s="307">
        <v>1.1000000000000001</v>
      </c>
      <c r="K6" s="307">
        <f>(5+2.5)/2</f>
        <v>3.75</v>
      </c>
      <c r="L6" s="33">
        <f>J6*COS(RADIANS(53))*(K6/2)</f>
        <v>1.2412434852510998</v>
      </c>
      <c r="M6" s="33">
        <f>L6*('3.Riepilogo carichi unitari'!$E$5)</f>
        <v>6.1502994072449386</v>
      </c>
      <c r="N6" s="33">
        <f>L6*'3.Riepilogo carichi unitari'!$G$5</f>
        <v>3.7237304557532998</v>
      </c>
      <c r="O6" s="92">
        <f>L6*'3.Riepilogo carichi unitari'!$J$5</f>
        <v>5.4757456351852269</v>
      </c>
    </row>
    <row r="7" spans="1:15">
      <c r="A7" s="38" t="s">
        <v>121</v>
      </c>
      <c r="B7" s="307">
        <v>1</v>
      </c>
      <c r="C7" s="33">
        <v>5</v>
      </c>
      <c r="D7" s="307">
        <f>B7*(C7/2)</f>
        <v>2.5</v>
      </c>
      <c r="E7" s="33">
        <f>D7*('3.Riepilogo carichi unitari'!$E$5)</f>
        <v>12.387375000000002</v>
      </c>
      <c r="F7" s="33">
        <f>D7*'3.Riepilogo carichi unitari'!$G$5</f>
        <v>7.5</v>
      </c>
      <c r="G7" s="92">
        <f>D7*'3.Riepilogo carichi unitari'!$J$5</f>
        <v>11.02875</v>
      </c>
      <c r="H7" s="97"/>
      <c r="I7" s="38" t="s">
        <v>121</v>
      </c>
      <c r="J7" s="307">
        <v>1</v>
      </c>
      <c r="K7" s="33">
        <f>(3.78+6.28)/2</f>
        <v>5.03</v>
      </c>
      <c r="L7" s="33">
        <f>J7*COS(RADIANS(53))*(K7/2)</f>
        <v>1.5135647832274017</v>
      </c>
      <c r="M7" s="33">
        <f>L7*('3.Riepilogo carichi unitari'!$E$5)</f>
        <v>7.4996378226526161</v>
      </c>
      <c r="N7" s="33">
        <f>L7*'3.Riepilogo carichi unitari'!$G$5</f>
        <v>4.5406943496822052</v>
      </c>
      <c r="O7" s="92">
        <f>L7*'3.Riepilogo carichi unitari'!$J$5</f>
        <v>6.6770910412076834</v>
      </c>
    </row>
    <row r="8" spans="1:15">
      <c r="A8" s="38" t="s">
        <v>122</v>
      </c>
      <c r="B8" s="307"/>
      <c r="C8" s="307"/>
      <c r="D8" s="307"/>
      <c r="E8" s="33">
        <f>'3.Riepilogo carichi unitari'!$E$9</f>
        <v>5.184075</v>
      </c>
      <c r="F8" s="33"/>
      <c r="G8" s="92">
        <f>'3.Riepilogo carichi unitari'!$J$9</f>
        <v>3.9877500000000001</v>
      </c>
      <c r="I8" s="38" t="s">
        <v>122</v>
      </c>
      <c r="J8" s="307"/>
      <c r="K8" s="307"/>
      <c r="L8" s="307"/>
      <c r="M8" s="33">
        <f>'3.Riepilogo carichi unitari'!$E$10</f>
        <v>2.3026249999999999</v>
      </c>
      <c r="N8" s="33"/>
      <c r="O8" s="92">
        <f>'3.Riepilogo carichi unitari'!$J$10</f>
        <v>1.7712499999999998</v>
      </c>
    </row>
    <row r="9" spans="1:15">
      <c r="A9" s="38" t="s">
        <v>123</v>
      </c>
      <c r="B9" s="307"/>
      <c r="C9" s="307"/>
      <c r="D9" s="307"/>
      <c r="E9" s="33">
        <f>'3.Riepilogo carichi unitari'!$E$11</f>
        <v>7.8416000000000015</v>
      </c>
      <c r="F9" s="33"/>
      <c r="G9" s="92">
        <f>'3.Riepilogo carichi unitari'!$J$11</f>
        <v>6.0320000000000009</v>
      </c>
      <c r="I9" s="38" t="s">
        <v>123</v>
      </c>
      <c r="J9" s="307"/>
      <c r="K9" s="307"/>
      <c r="L9" s="307"/>
      <c r="M9" s="33">
        <f>'3.Riepilogo carichi unitari'!$E$11</f>
        <v>7.8416000000000015</v>
      </c>
      <c r="N9" s="33"/>
      <c r="O9" s="92"/>
    </row>
    <row r="10" spans="1:15">
      <c r="A10" s="42"/>
      <c r="B10" s="41"/>
      <c r="C10" s="41"/>
      <c r="D10" s="41"/>
      <c r="E10" s="40">
        <f>SUM(E6:E9)</f>
        <v>34.579707500000005</v>
      </c>
      <c r="F10" s="40">
        <f>SUM(F6:F9)</f>
        <v>18.600000000000001</v>
      </c>
      <c r="G10" s="92"/>
      <c r="I10" s="53"/>
      <c r="J10" s="41"/>
      <c r="K10" s="41"/>
      <c r="L10" s="41"/>
      <c r="M10" s="40">
        <f>SUM(M6:M9)</f>
        <v>23.794162229897559</v>
      </c>
      <c r="N10" s="40">
        <f>SUM(N6:N9)</f>
        <v>8.264424805435505</v>
      </c>
      <c r="O10" s="92"/>
    </row>
    <row r="11" spans="1:15" ht="28.5" customHeight="1">
      <c r="A11" s="82"/>
      <c r="B11" s="83"/>
      <c r="C11" s="83"/>
      <c r="D11" s="84"/>
      <c r="E11" s="349" t="s">
        <v>179</v>
      </c>
      <c r="F11" s="350"/>
      <c r="G11" s="311" t="s">
        <v>178</v>
      </c>
      <c r="I11" s="82"/>
      <c r="J11" s="83"/>
      <c r="K11" s="83"/>
      <c r="L11" s="84"/>
      <c r="M11" s="349" t="s">
        <v>179</v>
      </c>
      <c r="N11" s="350"/>
      <c r="O11" s="311" t="s">
        <v>178</v>
      </c>
    </row>
    <row r="12" spans="1:15" ht="20.25" customHeight="1">
      <c r="A12" s="53" t="s">
        <v>177</v>
      </c>
      <c r="B12" s="87"/>
      <c r="C12" s="88"/>
      <c r="D12" s="88"/>
      <c r="E12" s="102">
        <f>E10+F10</f>
        <v>53.179707500000006</v>
      </c>
      <c r="F12" s="103"/>
      <c r="G12" s="98">
        <f>SUM(G6:G9)</f>
        <v>32.539775000000006</v>
      </c>
      <c r="I12" s="53" t="s">
        <v>177</v>
      </c>
      <c r="J12" s="87"/>
      <c r="K12" s="88"/>
      <c r="L12" s="88"/>
      <c r="M12" s="102">
        <f>M10+N10</f>
        <v>32.058587035333062</v>
      </c>
      <c r="N12" s="103"/>
      <c r="O12" s="98">
        <f>SUM(O6:O9)</f>
        <v>13.924086676392911</v>
      </c>
    </row>
    <row r="14" spans="1:15" ht="15.75" thickBot="1">
      <c r="A14" s="360" t="s">
        <v>168</v>
      </c>
      <c r="B14" s="361"/>
      <c r="C14" s="361"/>
      <c r="D14" s="361"/>
      <c r="E14" s="361"/>
      <c r="F14" s="361"/>
      <c r="G14" s="85"/>
      <c r="I14" s="360" t="s">
        <v>169</v>
      </c>
      <c r="J14" s="361"/>
      <c r="K14" s="361"/>
      <c r="L14" s="361"/>
      <c r="M14" s="361"/>
      <c r="N14" s="361"/>
      <c r="O14" s="85"/>
    </row>
    <row r="15" spans="1:15" ht="33.75" thickTop="1">
      <c r="A15" s="38"/>
      <c r="B15" s="91" t="s">
        <v>115</v>
      </c>
      <c r="C15" s="308" t="s">
        <v>182</v>
      </c>
      <c r="D15" s="307"/>
      <c r="E15" s="308" t="s">
        <v>180</v>
      </c>
      <c r="F15" s="308" t="s">
        <v>116</v>
      </c>
      <c r="G15" s="90" t="s">
        <v>181</v>
      </c>
      <c r="I15" s="38"/>
      <c r="J15" s="91" t="s">
        <v>115</v>
      </c>
      <c r="K15" s="308" t="s">
        <v>182</v>
      </c>
      <c r="L15" s="307"/>
      <c r="M15" s="308" t="s">
        <v>180</v>
      </c>
      <c r="N15" s="308" t="s">
        <v>116</v>
      </c>
      <c r="O15" s="90" t="s">
        <v>181</v>
      </c>
    </row>
    <row r="16" spans="1:15">
      <c r="A16" s="38" t="s">
        <v>119</v>
      </c>
      <c r="B16" s="307">
        <v>1.1000000000000001</v>
      </c>
      <c r="C16" s="33">
        <v>5</v>
      </c>
      <c r="D16" s="307">
        <f>B16*(C16/2)</f>
        <v>2.75</v>
      </c>
      <c r="E16" s="33">
        <f>D16*('3.Riepilogo carichi unitari'!$E$5)</f>
        <v>13.626112500000003</v>
      </c>
      <c r="F16" s="33">
        <f>D16*'3.Riepilogo carichi unitari'!$G$5</f>
        <v>8.25</v>
      </c>
      <c r="G16" s="92">
        <f>D16*'3.Riepilogo carichi unitari'!$J$5</f>
        <v>12.131625</v>
      </c>
      <c r="I16" s="38" t="s">
        <v>119</v>
      </c>
      <c r="J16" s="307" t="s">
        <v>120</v>
      </c>
      <c r="K16" s="307" t="s">
        <v>120</v>
      </c>
      <c r="L16" s="307" t="s">
        <v>120</v>
      </c>
      <c r="M16" s="307" t="s">
        <v>120</v>
      </c>
      <c r="N16" s="307" t="s">
        <v>120</v>
      </c>
      <c r="O16" s="92"/>
    </row>
    <row r="17" spans="1:17">
      <c r="A17" s="38" t="s">
        <v>121</v>
      </c>
      <c r="B17" s="307">
        <v>1</v>
      </c>
      <c r="C17" s="307">
        <v>3.78</v>
      </c>
      <c r="D17" s="307">
        <f>B17*(C17/2)</f>
        <v>1.89</v>
      </c>
      <c r="E17" s="33">
        <f>D17*('3.Riepilogo carichi unitari'!$E$5)</f>
        <v>9.3648555000000009</v>
      </c>
      <c r="F17" s="33">
        <f>D17*'3.Riepilogo carichi unitari'!$G$5</f>
        <v>5.67</v>
      </c>
      <c r="G17" s="92">
        <f>D17*'3.Riepilogo carichi unitari'!$J$5</f>
        <v>8.3377350000000003</v>
      </c>
      <c r="I17" s="38" t="s">
        <v>121</v>
      </c>
      <c r="J17" s="307">
        <v>1</v>
      </c>
      <c r="K17" s="307">
        <v>6.28</v>
      </c>
      <c r="L17" s="307">
        <f>J17*(K17/2)</f>
        <v>3.14</v>
      </c>
      <c r="M17" s="33">
        <f>L17*('3.Riepilogo carichi unitari'!$E$5)</f>
        <v>15.558543000000004</v>
      </c>
      <c r="N17" s="33">
        <f>L17*'3.Riepilogo carichi unitari'!$G$5</f>
        <v>9.42</v>
      </c>
      <c r="O17" s="92">
        <f>L17*'3.Riepilogo carichi unitari'!$J$5</f>
        <v>13.852110000000001</v>
      </c>
    </row>
    <row r="18" spans="1:17">
      <c r="A18" s="38" t="s">
        <v>122</v>
      </c>
      <c r="B18" s="307"/>
      <c r="C18" s="307"/>
      <c r="D18" s="307"/>
      <c r="E18" s="33">
        <f>'3.Riepilogo carichi unitari'!$E$9</f>
        <v>5.184075</v>
      </c>
      <c r="F18" s="33"/>
      <c r="G18" s="92">
        <f>'3.Riepilogo carichi unitari'!$J$9</f>
        <v>3.9877500000000001</v>
      </c>
      <c r="I18" s="38" t="s">
        <v>122</v>
      </c>
      <c r="J18" s="307"/>
      <c r="K18" s="307"/>
      <c r="L18" s="307"/>
      <c r="M18" s="33">
        <f>'3.Riepilogo carichi unitari'!$E$9</f>
        <v>5.184075</v>
      </c>
      <c r="N18" s="33"/>
      <c r="O18" s="92">
        <f>'3.Riepilogo carichi unitari'!$J$9</f>
        <v>3.9877500000000001</v>
      </c>
    </row>
    <row r="19" spans="1:17">
      <c r="A19" s="38" t="s">
        <v>123</v>
      </c>
      <c r="B19" s="307"/>
      <c r="C19" s="307"/>
      <c r="D19" s="307"/>
      <c r="E19" s="33" t="s">
        <v>120</v>
      </c>
      <c r="F19" s="33"/>
      <c r="G19" s="92"/>
      <c r="I19" s="38" t="s">
        <v>123</v>
      </c>
      <c r="J19" s="307"/>
      <c r="K19" s="307"/>
      <c r="L19" s="307"/>
      <c r="M19" s="33">
        <f>'3.Riepilogo carichi unitari'!$E$11</f>
        <v>7.8416000000000015</v>
      </c>
      <c r="N19" s="33"/>
      <c r="O19" s="92">
        <f>'3.Riepilogo carichi unitari'!$J$11</f>
        <v>6.0320000000000009</v>
      </c>
    </row>
    <row r="20" spans="1:17">
      <c r="A20" s="53" t="s">
        <v>49</v>
      </c>
      <c r="B20" s="41"/>
      <c r="C20" s="41"/>
      <c r="D20" s="41"/>
      <c r="E20" s="40">
        <f>SUM(E16:E19)</f>
        <v>28.175043000000002</v>
      </c>
      <c r="F20" s="40">
        <f>SUM(F16:F19)</f>
        <v>13.92</v>
      </c>
      <c r="G20" s="92"/>
      <c r="I20" s="53" t="s">
        <v>49</v>
      </c>
      <c r="J20" s="41"/>
      <c r="K20" s="41"/>
      <c r="L20" s="41"/>
      <c r="M20" s="40">
        <f>SUM(M16:M19)</f>
        <v>28.584218000000007</v>
      </c>
      <c r="N20" s="40">
        <f>SUM(N16:N19)</f>
        <v>9.42</v>
      </c>
      <c r="O20" s="92"/>
    </row>
    <row r="21" spans="1:17" ht="30">
      <c r="A21" s="82"/>
      <c r="B21" s="83"/>
      <c r="C21" s="83"/>
      <c r="D21" s="84"/>
      <c r="E21" s="349" t="s">
        <v>179</v>
      </c>
      <c r="F21" s="350"/>
      <c r="G21" s="311" t="s">
        <v>178</v>
      </c>
      <c r="I21" s="82"/>
      <c r="J21" s="83"/>
      <c r="K21" s="83"/>
      <c r="L21" s="84"/>
      <c r="M21" s="349" t="s">
        <v>179</v>
      </c>
      <c r="N21" s="350"/>
      <c r="O21" s="311" t="s">
        <v>178</v>
      </c>
    </row>
    <row r="22" spans="1:17">
      <c r="A22" s="53" t="s">
        <v>177</v>
      </c>
      <c r="B22" s="87"/>
      <c r="C22" s="88"/>
      <c r="D22" s="88"/>
      <c r="E22" s="102">
        <f>E20+F20</f>
        <v>42.095043000000004</v>
      </c>
      <c r="F22" s="103"/>
      <c r="G22" s="98">
        <f>SUM(G16:G19)</f>
        <v>24.45711</v>
      </c>
      <c r="I22" s="53" t="s">
        <v>177</v>
      </c>
      <c r="J22" s="87"/>
      <c r="K22" s="88"/>
      <c r="L22" s="88"/>
      <c r="M22" s="102">
        <f>M20+N20</f>
        <v>38.004218000000009</v>
      </c>
      <c r="N22" s="103"/>
      <c r="O22" s="98">
        <f>SUM(O16:O19)</f>
        <v>23.871860000000002</v>
      </c>
    </row>
    <row r="24" spans="1:17" ht="15.75" thickBot="1">
      <c r="A24" s="360" t="s">
        <v>170</v>
      </c>
      <c r="B24" s="361"/>
      <c r="C24" s="361"/>
      <c r="D24" s="361"/>
      <c r="E24" s="361"/>
      <c r="F24" s="361"/>
      <c r="G24" s="85"/>
      <c r="I24" s="360" t="s">
        <v>171</v>
      </c>
      <c r="J24" s="361"/>
      <c r="K24" s="361"/>
      <c r="L24" s="361"/>
      <c r="M24" s="361"/>
      <c r="N24" s="361"/>
      <c r="O24" s="85"/>
      <c r="Q24">
        <f>ATAN((0.8/1.8))</f>
        <v>0.41822432957922911</v>
      </c>
    </row>
    <row r="25" spans="1:17" ht="33.75" thickTop="1">
      <c r="A25" s="38"/>
      <c r="B25" s="91" t="s">
        <v>115</v>
      </c>
      <c r="C25" s="308" t="s">
        <v>182</v>
      </c>
      <c r="D25" s="307"/>
      <c r="E25" s="308" t="s">
        <v>180</v>
      </c>
      <c r="F25" s="308" t="s">
        <v>116</v>
      </c>
      <c r="G25" s="90" t="s">
        <v>181</v>
      </c>
      <c r="I25" s="38"/>
      <c r="J25" s="91" t="s">
        <v>115</v>
      </c>
      <c r="K25" s="308" t="s">
        <v>182</v>
      </c>
      <c r="L25" s="307"/>
      <c r="M25" s="308" t="s">
        <v>180</v>
      </c>
      <c r="N25" s="308" t="s">
        <v>116</v>
      </c>
      <c r="O25" s="90" t="s">
        <v>181</v>
      </c>
      <c r="Q25">
        <f>DEGREES(Q24)</f>
        <v>23.962488974578186</v>
      </c>
    </row>
    <row r="26" spans="1:17">
      <c r="A26" s="38" t="s">
        <v>119</v>
      </c>
      <c r="B26" s="307">
        <v>1</v>
      </c>
      <c r="C26" s="33">
        <v>3.78</v>
      </c>
      <c r="D26" s="307">
        <f>B26*(C26/2)</f>
        <v>1.89</v>
      </c>
      <c r="E26" s="33">
        <f>D26*('3.Riepilogo carichi unitari'!$E$5)</f>
        <v>9.3648555000000009</v>
      </c>
      <c r="F26" s="33">
        <f>D26*'3.Riepilogo carichi unitari'!$G$5</f>
        <v>5.67</v>
      </c>
      <c r="G26" s="92">
        <f>D26*'3.Riepilogo carichi unitari'!$J$5</f>
        <v>8.3377350000000003</v>
      </c>
      <c r="I26" s="38" t="s">
        <v>119</v>
      </c>
      <c r="J26" s="307">
        <v>1.2</v>
      </c>
      <c r="K26" s="33">
        <v>6.28</v>
      </c>
      <c r="L26" s="33">
        <f>J26*(K26/2)</f>
        <v>3.7679999999999998</v>
      </c>
      <c r="M26" s="33">
        <f>L26*('3.Riepilogo carichi unitari'!$E$5)</f>
        <v>18.670251600000004</v>
      </c>
      <c r="N26" s="33">
        <f>L26*'3.Riepilogo carichi unitari'!$G$5</f>
        <v>11.303999999999998</v>
      </c>
      <c r="O26" s="92">
        <f>L26*'3.Riepilogo carichi unitari'!$J$5</f>
        <v>16.622532</v>
      </c>
    </row>
    <row r="27" spans="1:17">
      <c r="A27" s="38" t="s">
        <v>121</v>
      </c>
      <c r="B27" s="307">
        <v>1</v>
      </c>
      <c r="C27" s="307">
        <v>4.62</v>
      </c>
      <c r="D27" s="307">
        <f>B27*(C27/2)</f>
        <v>2.31</v>
      </c>
      <c r="E27" s="33">
        <f>D27*('3.Riepilogo carichi unitari'!$E$5)</f>
        <v>11.445934500000003</v>
      </c>
      <c r="F27" s="33">
        <f>D27*'3.Riepilogo carichi unitari'!$G$5</f>
        <v>6.93</v>
      </c>
      <c r="G27" s="92">
        <f>D27*'3.Riepilogo carichi unitari'!$J$5</f>
        <v>10.190565000000001</v>
      </c>
      <c r="I27" s="38" t="s">
        <v>121</v>
      </c>
      <c r="J27" s="307">
        <v>1.2</v>
      </c>
      <c r="K27" s="307">
        <v>5.62</v>
      </c>
      <c r="L27" s="33">
        <f>J27*(K27/2)</f>
        <v>3.3719999999999999</v>
      </c>
      <c r="M27" s="33">
        <f>L27*('3.Riepilogo carichi unitari'!$E$5)</f>
        <v>16.708091400000004</v>
      </c>
      <c r="N27" s="33">
        <f>L27*'3.Riepilogo carichi unitari'!$G$5</f>
        <v>10.116</v>
      </c>
      <c r="O27" s="92">
        <f>L27*'3.Riepilogo carichi unitari'!$J$5</f>
        <v>14.875578000000001</v>
      </c>
    </row>
    <row r="28" spans="1:17">
      <c r="A28" s="38" t="s">
        <v>122</v>
      </c>
      <c r="B28" s="307"/>
      <c r="C28" s="307"/>
      <c r="D28" s="307"/>
      <c r="E28" s="33">
        <f>'3.Riepilogo carichi unitari'!$E$9</f>
        <v>5.184075</v>
      </c>
      <c r="F28" s="33"/>
      <c r="G28" s="92">
        <f>'3.Riepilogo carichi unitari'!$J$9</f>
        <v>3.9877500000000001</v>
      </c>
      <c r="I28" s="38" t="s">
        <v>122</v>
      </c>
      <c r="J28" s="307"/>
      <c r="K28" s="307"/>
      <c r="L28" s="307"/>
      <c r="M28" s="33">
        <f>'3.Riepilogo carichi unitari'!$E$9</f>
        <v>5.184075</v>
      </c>
      <c r="N28" s="33"/>
      <c r="O28" s="92">
        <f>'3.Riepilogo carichi unitari'!$J$9</f>
        <v>3.9877500000000001</v>
      </c>
    </row>
    <row r="29" spans="1:17">
      <c r="A29" s="38" t="s">
        <v>123</v>
      </c>
      <c r="B29" s="307"/>
      <c r="C29" s="307"/>
      <c r="D29" s="307"/>
      <c r="E29" s="33" t="s">
        <v>120</v>
      </c>
      <c r="F29" s="33"/>
      <c r="G29" s="92"/>
      <c r="I29" s="38" t="s">
        <v>123</v>
      </c>
      <c r="J29" s="307"/>
      <c r="K29" s="307"/>
      <c r="L29" s="307"/>
      <c r="M29" s="33" t="s">
        <v>120</v>
      </c>
      <c r="N29" s="33"/>
      <c r="O29" s="92"/>
    </row>
    <row r="30" spans="1:17">
      <c r="A30" s="53" t="s">
        <v>49</v>
      </c>
      <c r="B30" s="41"/>
      <c r="C30" s="41"/>
      <c r="D30" s="41"/>
      <c r="E30" s="40">
        <f>SUM(E26:E29)</f>
        <v>25.994865000000004</v>
      </c>
      <c r="F30" s="40">
        <f>SUM(F26:F29)</f>
        <v>12.6</v>
      </c>
      <c r="G30" s="92"/>
      <c r="I30" s="53" t="s">
        <v>49</v>
      </c>
      <c r="J30" s="41"/>
      <c r="K30" s="41"/>
      <c r="L30" s="41"/>
      <c r="M30" s="40">
        <f>SUM(M26:M29)</f>
        <v>40.562418000000008</v>
      </c>
      <c r="N30" s="40">
        <f>SUM(N26:N29)</f>
        <v>21.419999999999998</v>
      </c>
      <c r="O30" s="92"/>
    </row>
    <row r="31" spans="1:17" ht="30">
      <c r="A31" s="82"/>
      <c r="B31" s="83"/>
      <c r="C31" s="83"/>
      <c r="D31" s="84"/>
      <c r="E31" s="349" t="s">
        <v>179</v>
      </c>
      <c r="F31" s="350"/>
      <c r="G31" s="311" t="s">
        <v>178</v>
      </c>
      <c r="I31" s="82"/>
      <c r="J31" s="83"/>
      <c r="K31" s="83"/>
      <c r="L31" s="84"/>
      <c r="M31" s="349" t="s">
        <v>179</v>
      </c>
      <c r="N31" s="350"/>
      <c r="O31" s="311" t="s">
        <v>178</v>
      </c>
    </row>
    <row r="32" spans="1:17">
      <c r="A32" s="53" t="s">
        <v>177</v>
      </c>
      <c r="B32" s="87"/>
      <c r="C32" s="88"/>
      <c r="D32" s="88"/>
      <c r="E32" s="102">
        <f>E30+F30</f>
        <v>38.594865000000006</v>
      </c>
      <c r="F32" s="103"/>
      <c r="G32" s="98">
        <f>SUM(G26:G29)</f>
        <v>22.51605</v>
      </c>
      <c r="I32" s="53" t="s">
        <v>177</v>
      </c>
      <c r="J32" s="87"/>
      <c r="K32" s="88"/>
      <c r="L32" s="88"/>
      <c r="M32" s="102">
        <f>M30+N30</f>
        <v>61.98241800000001</v>
      </c>
      <c r="N32" s="103"/>
      <c r="O32" s="98">
        <f>SUM(O26:O29)</f>
        <v>35.485860000000002</v>
      </c>
    </row>
    <row r="34" spans="1:15" ht="15.75" thickBot="1">
      <c r="A34" s="360" t="s">
        <v>172</v>
      </c>
      <c r="B34" s="361"/>
      <c r="C34" s="361"/>
      <c r="D34" s="361"/>
      <c r="E34" s="361"/>
      <c r="F34" s="361"/>
      <c r="G34" s="85"/>
      <c r="I34" s="357" t="s">
        <v>173</v>
      </c>
      <c r="J34" s="358"/>
      <c r="K34" s="358"/>
      <c r="L34" s="358"/>
      <c r="M34" s="358"/>
      <c r="N34" s="359"/>
      <c r="O34" s="85"/>
    </row>
    <row r="35" spans="1:15" ht="33.75" thickTop="1">
      <c r="A35" s="38"/>
      <c r="B35" s="91" t="s">
        <v>115</v>
      </c>
      <c r="C35" s="308" t="s">
        <v>182</v>
      </c>
      <c r="D35" s="307"/>
      <c r="E35" s="308" t="s">
        <v>180</v>
      </c>
      <c r="F35" s="308" t="s">
        <v>116</v>
      </c>
      <c r="G35" s="90" t="s">
        <v>181</v>
      </c>
      <c r="I35" s="38"/>
      <c r="J35" s="91" t="s">
        <v>115</v>
      </c>
      <c r="K35" s="308" t="s">
        <v>182</v>
      </c>
      <c r="L35" s="307"/>
      <c r="M35" s="308" t="s">
        <v>180</v>
      </c>
      <c r="N35" s="308" t="s">
        <v>116</v>
      </c>
      <c r="O35" s="90" t="s">
        <v>181</v>
      </c>
    </row>
    <row r="36" spans="1:15">
      <c r="A36" s="38" t="s">
        <v>119</v>
      </c>
      <c r="B36" s="307">
        <v>1</v>
      </c>
      <c r="C36" s="33">
        <v>4.62</v>
      </c>
      <c r="D36" s="307">
        <f>B36*(C36/2)</f>
        <v>2.31</v>
      </c>
      <c r="E36" s="33">
        <f>D36*('3.Riepilogo carichi unitari'!$E$5)</f>
        <v>11.445934500000003</v>
      </c>
      <c r="F36" s="33">
        <f>D36*'3.Riepilogo carichi unitari'!$G$5</f>
        <v>6.93</v>
      </c>
      <c r="G36" s="92">
        <f>D36*'3.Riepilogo carichi unitari'!$J$5</f>
        <v>10.190565000000001</v>
      </c>
      <c r="I36" s="38" t="s">
        <v>119</v>
      </c>
      <c r="J36" s="307">
        <v>1</v>
      </c>
      <c r="K36" s="307">
        <f>(4.62+5.62)/2</f>
        <v>5.12</v>
      </c>
      <c r="L36" s="33">
        <f>J36*COS(RADIANS(24))*(K36/2)</f>
        <v>2.3386763715650583</v>
      </c>
      <c r="M36" s="33">
        <f>L36*('3.Riepilogo carichi unitari'!$E$5)</f>
        <v>11.588024487286289</v>
      </c>
      <c r="N36" s="33">
        <f>L36*'3.Riepilogo carichi unitari'!$G$5</f>
        <v>7.0160291146951748</v>
      </c>
      <c r="O36" s="92">
        <f>L36*'3.Riepilogo carichi unitari'!$J$5</f>
        <v>10.317070813159255</v>
      </c>
    </row>
    <row r="37" spans="1:15">
      <c r="A37" s="38" t="s">
        <v>121</v>
      </c>
      <c r="B37" s="307">
        <v>1.1000000000000001</v>
      </c>
      <c r="C37" s="33">
        <v>3.5</v>
      </c>
      <c r="D37" s="307">
        <f>B37*(C37/2)</f>
        <v>1.9250000000000003</v>
      </c>
      <c r="E37" s="33">
        <f>D37*('3.Riepilogo carichi unitari'!$E$5)</f>
        <v>9.5382787500000035</v>
      </c>
      <c r="F37" s="33">
        <f>D37*'3.Riepilogo carichi unitari'!$G$5</f>
        <v>5.7750000000000004</v>
      </c>
      <c r="G37" s="92">
        <f>D37*'3.Riepilogo carichi unitari'!$J$5</f>
        <v>8.4921375000000019</v>
      </c>
      <c r="I37" s="38" t="s">
        <v>121</v>
      </c>
      <c r="J37" s="307">
        <v>1.1000000000000001</v>
      </c>
      <c r="K37" s="307">
        <f>(3.5+2.5)/2</f>
        <v>3</v>
      </c>
      <c r="L37" s="33">
        <f>J37*COS(RADIANS(24))*(K37/2)</f>
        <v>1.5073500051102917</v>
      </c>
      <c r="M37" s="33">
        <f>L37*('3.Riepilogo carichi unitari'!$E$5)</f>
        <v>7.4688439078212419</v>
      </c>
      <c r="N37" s="33">
        <f>L37*'3.Riepilogo carichi unitari'!$G$5</f>
        <v>4.5220500153308754</v>
      </c>
      <c r="O37" s="92">
        <f>L37*'3.Riepilogo carichi unitari'!$J$5</f>
        <v>6.649674547544052</v>
      </c>
    </row>
    <row r="38" spans="1:15">
      <c r="A38" s="38" t="s">
        <v>122</v>
      </c>
      <c r="B38" s="307"/>
      <c r="C38" s="307"/>
      <c r="D38" s="307"/>
      <c r="E38" s="33">
        <f>'3.Riepilogo carichi unitari'!$E$9</f>
        <v>5.184075</v>
      </c>
      <c r="F38" s="33"/>
      <c r="G38" s="92">
        <f>'3.Riepilogo carichi unitari'!$J$9</f>
        <v>3.9877500000000001</v>
      </c>
      <c r="I38" s="38" t="s">
        <v>122</v>
      </c>
      <c r="J38" s="307"/>
      <c r="K38" s="307"/>
      <c r="L38" s="307"/>
      <c r="M38" s="33">
        <f>'3.Riepilogo carichi unitari'!$E$10</f>
        <v>2.3026249999999999</v>
      </c>
      <c r="N38" s="33"/>
      <c r="O38" s="92">
        <f>'3.Riepilogo carichi unitari'!$J$10</f>
        <v>1.7712499999999998</v>
      </c>
    </row>
    <row r="39" spans="1:15">
      <c r="A39" s="38" t="s">
        <v>123</v>
      </c>
      <c r="B39" s="307"/>
      <c r="C39" s="307"/>
      <c r="D39" s="307"/>
      <c r="E39" s="33" t="s">
        <v>120</v>
      </c>
      <c r="F39" s="33"/>
      <c r="G39" s="92"/>
      <c r="I39" s="38" t="s">
        <v>123</v>
      </c>
      <c r="J39" s="307"/>
      <c r="K39" s="307"/>
      <c r="L39" s="307"/>
      <c r="M39" s="33" t="s">
        <v>120</v>
      </c>
      <c r="N39" s="33"/>
      <c r="O39" s="92"/>
    </row>
    <row r="40" spans="1:15">
      <c r="A40" s="53" t="s">
        <v>49</v>
      </c>
      <c r="B40" s="41"/>
      <c r="C40" s="41"/>
      <c r="D40" s="41"/>
      <c r="E40" s="40">
        <f>SUM(E36:E39)</f>
        <v>26.168288250000007</v>
      </c>
      <c r="F40" s="40">
        <f>SUM(F36:F39)</f>
        <v>12.705</v>
      </c>
      <c r="G40" s="92"/>
      <c r="I40" s="53" t="s">
        <v>49</v>
      </c>
      <c r="J40" s="41"/>
      <c r="K40" s="41"/>
      <c r="L40" s="41"/>
      <c r="M40" s="40">
        <f>SUM(M36:M39)</f>
        <v>21.359493395107528</v>
      </c>
      <c r="N40" s="40">
        <f>SUM(N36:N39)</f>
        <v>11.53807913002605</v>
      </c>
      <c r="O40" s="92"/>
    </row>
    <row r="41" spans="1:15" ht="30">
      <c r="A41" s="82"/>
      <c r="B41" s="83"/>
      <c r="C41" s="83"/>
      <c r="D41" s="84"/>
      <c r="E41" s="349" t="s">
        <v>179</v>
      </c>
      <c r="F41" s="350"/>
      <c r="G41" s="311" t="s">
        <v>178</v>
      </c>
      <c r="I41" s="82"/>
      <c r="J41" s="83"/>
      <c r="K41" s="83"/>
      <c r="L41" s="84"/>
      <c r="M41" s="349" t="s">
        <v>179</v>
      </c>
      <c r="N41" s="350"/>
      <c r="O41" s="311" t="s">
        <v>178</v>
      </c>
    </row>
    <row r="42" spans="1:15">
      <c r="A42" s="53" t="s">
        <v>177</v>
      </c>
      <c r="B42" s="87"/>
      <c r="C42" s="88"/>
      <c r="D42" s="88"/>
      <c r="E42" s="102">
        <f>E40+F40</f>
        <v>38.873288250000009</v>
      </c>
      <c r="F42" s="103"/>
      <c r="G42" s="98">
        <f>SUM(G36:G39)</f>
        <v>22.670452500000003</v>
      </c>
      <c r="I42" s="53" t="s">
        <v>177</v>
      </c>
      <c r="J42" s="87"/>
      <c r="K42" s="88"/>
      <c r="L42" s="88"/>
      <c r="M42" s="102">
        <f>M40+N40</f>
        <v>32.897572525133576</v>
      </c>
      <c r="N42" s="103"/>
      <c r="O42" s="98">
        <f>SUM(O36:O39)</f>
        <v>18.737995360703305</v>
      </c>
    </row>
    <row r="44" spans="1:15" ht="15.75" thickBot="1">
      <c r="A44" s="360" t="s">
        <v>174</v>
      </c>
      <c r="B44" s="361"/>
      <c r="C44" s="361"/>
      <c r="D44" s="361"/>
      <c r="E44" s="361"/>
      <c r="F44" s="361"/>
      <c r="G44" s="85"/>
      <c r="I44" s="360" t="s">
        <v>202</v>
      </c>
      <c r="J44" s="361"/>
      <c r="K44" s="361"/>
      <c r="L44" s="361"/>
      <c r="M44" s="361"/>
      <c r="N44" s="361"/>
      <c r="O44" s="85"/>
    </row>
    <row r="45" spans="1:15" ht="33.75" thickTop="1">
      <c r="A45" s="38"/>
      <c r="B45" s="91" t="s">
        <v>115</v>
      </c>
      <c r="C45" s="308" t="s">
        <v>182</v>
      </c>
      <c r="D45" s="307"/>
      <c r="E45" s="308" t="s">
        <v>180</v>
      </c>
      <c r="F45" s="308" t="s">
        <v>116</v>
      </c>
      <c r="G45" s="90" t="s">
        <v>181</v>
      </c>
      <c r="I45" s="38"/>
      <c r="J45" s="91" t="s">
        <v>115</v>
      </c>
      <c r="K45" s="308" t="s">
        <v>182</v>
      </c>
      <c r="L45" s="307"/>
      <c r="M45" s="308" t="s">
        <v>180</v>
      </c>
      <c r="N45" s="308" t="s">
        <v>116</v>
      </c>
      <c r="O45" s="90" t="s">
        <v>181</v>
      </c>
    </row>
    <row r="46" spans="1:15">
      <c r="A46" s="38" t="s">
        <v>119</v>
      </c>
      <c r="B46" s="307">
        <v>1</v>
      </c>
      <c r="C46" s="33">
        <v>4.62</v>
      </c>
      <c r="D46" s="307">
        <f>B46*(C46/2)</f>
        <v>2.31</v>
      </c>
      <c r="E46" s="33">
        <f>D46*('3.Riepilogo carichi unitari'!$E$5)</f>
        <v>11.445934500000003</v>
      </c>
      <c r="F46" s="33">
        <f>D46*'3.Riepilogo carichi unitari'!$G$5</f>
        <v>6.93</v>
      </c>
      <c r="G46" s="92">
        <f>D46*'3.Riepilogo carichi unitari'!$J$5</f>
        <v>10.190565000000001</v>
      </c>
      <c r="H46" s="81"/>
      <c r="I46" s="38" t="s">
        <v>119</v>
      </c>
      <c r="J46" s="307">
        <v>1</v>
      </c>
      <c r="K46" s="33">
        <v>5.62</v>
      </c>
      <c r="L46" s="33">
        <f>J46*(K46/2)</f>
        <v>2.81</v>
      </c>
      <c r="M46" s="33">
        <f>L46*('3.Riepilogo carichi unitari'!$E$5)</f>
        <v>13.923409500000004</v>
      </c>
      <c r="N46" s="33">
        <f>L46*'3.Riepilogo carichi unitari'!$G$5</f>
        <v>8.43</v>
      </c>
      <c r="O46" s="92">
        <f>L46*'3.Riepilogo carichi unitari'!$J$5</f>
        <v>12.396315000000001</v>
      </c>
    </row>
    <row r="47" spans="1:15">
      <c r="A47" s="38" t="s">
        <v>125</v>
      </c>
      <c r="B47" s="307"/>
      <c r="C47" s="307">
        <v>1.85</v>
      </c>
      <c r="D47" s="307">
        <f>(C47)</f>
        <v>1.85</v>
      </c>
      <c r="E47" s="33">
        <f>D47*('3.Riepilogo carichi unitari'!$E$7)</f>
        <v>9.166657500000003</v>
      </c>
      <c r="F47" s="33">
        <f>D47*'3.Riepilogo carichi unitari'!$G$7</f>
        <v>11.100000000000001</v>
      </c>
      <c r="G47" s="92">
        <f>D47*'3.Riepilogo carichi unitari'!$J$7</f>
        <v>11.491275000000002</v>
      </c>
      <c r="H47" s="81"/>
      <c r="I47" s="38" t="s">
        <v>125</v>
      </c>
      <c r="J47" s="307" t="s">
        <v>120</v>
      </c>
      <c r="K47" s="307" t="s">
        <v>120</v>
      </c>
      <c r="L47" s="307" t="s">
        <v>120</v>
      </c>
      <c r="M47" s="307" t="s">
        <v>120</v>
      </c>
      <c r="N47" s="307" t="s">
        <v>120</v>
      </c>
      <c r="O47" s="92"/>
    </row>
    <row r="48" spans="1:15">
      <c r="A48" s="38" t="s">
        <v>122</v>
      </c>
      <c r="B48" s="307"/>
      <c r="C48" s="307"/>
      <c r="D48" s="80"/>
      <c r="E48" s="33">
        <f>'3.Riepilogo carichi unitari'!$E$9</f>
        <v>5.184075</v>
      </c>
      <c r="F48" s="33"/>
      <c r="G48" s="92">
        <f>'3.Riepilogo carichi unitari'!$J$9</f>
        <v>3.9877500000000001</v>
      </c>
      <c r="I48" s="38" t="s">
        <v>122</v>
      </c>
      <c r="J48" s="307"/>
      <c r="K48" s="307"/>
      <c r="L48" s="307"/>
      <c r="M48" s="33">
        <f>'3.Riepilogo carichi unitari'!$E$9</f>
        <v>5.184075</v>
      </c>
      <c r="N48" s="33"/>
      <c r="O48" s="92">
        <f>'3.Riepilogo carichi unitari'!$J$9</f>
        <v>3.9877500000000001</v>
      </c>
    </row>
    <row r="49" spans="1:15">
      <c r="A49" s="38" t="s">
        <v>123</v>
      </c>
      <c r="B49" s="307"/>
      <c r="C49" s="307"/>
      <c r="D49" s="307"/>
      <c r="E49" s="33">
        <f>'3.Riepilogo carichi unitari'!$E$11</f>
        <v>7.8416000000000015</v>
      </c>
      <c r="F49" s="33"/>
      <c r="G49" s="92">
        <f>'3.Riepilogo carichi unitari'!$J$11</f>
        <v>6.0320000000000009</v>
      </c>
      <c r="I49" s="38" t="s">
        <v>123</v>
      </c>
      <c r="J49" s="307"/>
      <c r="K49" s="307"/>
      <c r="L49" s="307"/>
      <c r="M49" s="33">
        <f>'3.Riepilogo carichi unitari'!$E$11</f>
        <v>7.8416000000000015</v>
      </c>
      <c r="N49" s="33"/>
      <c r="O49" s="92">
        <f>'3.Riepilogo carichi unitari'!$J$11</f>
        <v>6.0320000000000009</v>
      </c>
    </row>
    <row r="50" spans="1:15">
      <c r="A50" s="53" t="s">
        <v>49</v>
      </c>
      <c r="B50" s="41"/>
      <c r="C50" s="41"/>
      <c r="D50" s="41"/>
      <c r="E50" s="40">
        <f>SUM(E46:E49)</f>
        <v>33.638267000000006</v>
      </c>
      <c r="F50" s="40">
        <f>SUM(F46:F49)</f>
        <v>18.03</v>
      </c>
      <c r="G50" s="92"/>
      <c r="I50" s="53" t="s">
        <v>49</v>
      </c>
      <c r="J50" s="41"/>
      <c r="K50" s="41"/>
      <c r="L50" s="41"/>
      <c r="M50" s="40">
        <f>SUM(M46:M49)</f>
        <v>26.949084500000005</v>
      </c>
      <c r="N50" s="40">
        <f>SUM(N46:N49)</f>
        <v>8.43</v>
      </c>
      <c r="O50" s="92"/>
    </row>
    <row r="51" spans="1:15" ht="30">
      <c r="A51" s="82"/>
      <c r="B51" s="83"/>
      <c r="C51" s="83"/>
      <c r="D51" s="84"/>
      <c r="E51" s="349" t="s">
        <v>179</v>
      </c>
      <c r="F51" s="350"/>
      <c r="G51" s="311" t="s">
        <v>178</v>
      </c>
      <c r="I51" s="82"/>
      <c r="J51" s="83"/>
      <c r="K51" s="83"/>
      <c r="L51" s="84"/>
      <c r="M51" s="349" t="s">
        <v>179</v>
      </c>
      <c r="N51" s="350"/>
      <c r="O51" s="311" t="s">
        <v>178</v>
      </c>
    </row>
    <row r="52" spans="1:15">
      <c r="A52" s="53" t="s">
        <v>177</v>
      </c>
      <c r="B52" s="87"/>
      <c r="C52" s="88"/>
      <c r="D52" s="88"/>
      <c r="E52" s="102">
        <f>E50+F50</f>
        <v>51.668267000000007</v>
      </c>
      <c r="F52" s="103"/>
      <c r="G52" s="98">
        <f>SUM(G46:G49)</f>
        <v>31.701589999999999</v>
      </c>
      <c r="I52" s="53" t="s">
        <v>177</v>
      </c>
      <c r="J52" s="87"/>
      <c r="K52" s="88"/>
      <c r="L52" s="88"/>
      <c r="M52" s="102">
        <f>M50+N50</f>
        <v>35.379084500000005</v>
      </c>
      <c r="N52" s="103"/>
      <c r="O52" s="98">
        <f>SUM(O46:O49)</f>
        <v>22.416065</v>
      </c>
    </row>
    <row r="53" spans="1:15">
      <c r="A53" s="54"/>
      <c r="B53" s="307"/>
      <c r="C53" s="307"/>
      <c r="D53" s="307"/>
      <c r="E53" s="33"/>
      <c r="F53" s="33"/>
      <c r="G53" s="309"/>
      <c r="H53" s="31"/>
      <c r="I53" s="56"/>
      <c r="J53" s="307"/>
      <c r="K53" s="307"/>
      <c r="L53" s="307"/>
      <c r="M53" s="33"/>
      <c r="N53" s="33"/>
      <c r="O53" s="309"/>
    </row>
    <row r="54" spans="1:15" ht="15.75" thickBot="1">
      <c r="A54" s="357" t="s">
        <v>201</v>
      </c>
      <c r="B54" s="358"/>
      <c r="C54" s="358"/>
      <c r="D54" s="358"/>
      <c r="E54" s="358"/>
      <c r="F54" s="359"/>
      <c r="G54" s="85"/>
      <c r="I54" s="360" t="s">
        <v>200</v>
      </c>
      <c r="J54" s="361"/>
      <c r="K54" s="361"/>
      <c r="L54" s="361"/>
      <c r="M54" s="361"/>
      <c r="N54" s="361"/>
      <c r="O54" s="85"/>
    </row>
    <row r="55" spans="1:15" ht="33.75" thickTop="1">
      <c r="A55" s="38"/>
      <c r="B55" s="91" t="s">
        <v>115</v>
      </c>
      <c r="C55" s="308" t="s">
        <v>182</v>
      </c>
      <c r="D55" s="307"/>
      <c r="E55" s="308" t="s">
        <v>180</v>
      </c>
      <c r="F55" s="308" t="s">
        <v>116</v>
      </c>
      <c r="G55" s="90" t="s">
        <v>181</v>
      </c>
      <c r="I55" s="38"/>
      <c r="J55" s="91" t="s">
        <v>115</v>
      </c>
      <c r="K55" s="308" t="s">
        <v>182</v>
      </c>
      <c r="L55" s="307"/>
      <c r="M55" s="308" t="s">
        <v>180</v>
      </c>
      <c r="N55" s="308" t="s">
        <v>116</v>
      </c>
      <c r="O55" s="90" t="s">
        <v>181</v>
      </c>
    </row>
    <row r="56" spans="1:15">
      <c r="A56" s="38" t="s">
        <v>124</v>
      </c>
      <c r="B56" s="307">
        <v>1.2</v>
      </c>
      <c r="C56" s="33">
        <v>6.28</v>
      </c>
      <c r="D56" s="33">
        <f>B56*(C56/2)</f>
        <v>3.7679999999999998</v>
      </c>
      <c r="E56" s="33">
        <f>D56*('3.Riepilogo carichi unitari'!$E$8)</f>
        <v>34.80563910957661</v>
      </c>
      <c r="F56" s="33">
        <f>D56*'3.Riepilogo carichi unitari'!$G$8</f>
        <v>22.607999999999997</v>
      </c>
      <c r="G56" s="92">
        <f>D56*'3.Riepilogo carichi unitari'!$J$8</f>
        <v>35.816768545828161</v>
      </c>
      <c r="I56" s="38" t="s">
        <v>119</v>
      </c>
      <c r="J56" s="307" t="s">
        <v>120</v>
      </c>
      <c r="K56" s="307" t="s">
        <v>120</v>
      </c>
      <c r="L56" s="307" t="s">
        <v>120</v>
      </c>
      <c r="M56" s="307" t="s">
        <v>120</v>
      </c>
      <c r="N56" s="307" t="s">
        <v>120</v>
      </c>
      <c r="O56" s="92"/>
    </row>
    <row r="57" spans="1:15">
      <c r="A57" s="38" t="s">
        <v>121</v>
      </c>
      <c r="B57" s="307">
        <v>1.2</v>
      </c>
      <c r="C57" s="307">
        <v>5.62</v>
      </c>
      <c r="D57" s="33">
        <f>B57*(C57/2)</f>
        <v>3.3719999999999999</v>
      </c>
      <c r="E57" s="33">
        <f>D57*('3.Riepilogo carichi unitari'!$E$5)</f>
        <v>16.708091400000004</v>
      </c>
      <c r="F57" s="33">
        <f>D57*'3.Riepilogo carichi unitari'!$G$5</f>
        <v>10.116</v>
      </c>
      <c r="G57" s="92">
        <f>D57*'3.Riepilogo carichi unitari'!$J$5</f>
        <v>14.875578000000001</v>
      </c>
      <c r="I57" s="38" t="s">
        <v>199</v>
      </c>
      <c r="J57" s="307">
        <v>1</v>
      </c>
      <c r="K57" s="33">
        <v>6.28</v>
      </c>
      <c r="L57" s="33">
        <f>J57*(K57/2)</f>
        <v>3.14</v>
      </c>
      <c r="M57" s="33">
        <f>L57*('3.Riepilogo carichi unitari'!$E$8)</f>
        <v>29.004699257980512</v>
      </c>
      <c r="N57" s="33">
        <f>L57*'3.Riepilogo carichi unitari'!$G$8</f>
        <v>18.84</v>
      </c>
      <c r="O57" s="92">
        <f>L57*'3.Riepilogo carichi unitari'!$J$8</f>
        <v>29.847307121523468</v>
      </c>
    </row>
    <row r="58" spans="1:15">
      <c r="A58" s="38" t="s">
        <v>122</v>
      </c>
      <c r="B58" s="307"/>
      <c r="C58" s="307"/>
      <c r="D58" s="307"/>
      <c r="E58" s="33">
        <f>'3.Riepilogo carichi unitari'!$E$10</f>
        <v>2.3026249999999999</v>
      </c>
      <c r="F58" s="33"/>
      <c r="G58" s="92">
        <f>'3.Riepilogo carichi unitari'!$J$10</f>
        <v>1.7712499999999998</v>
      </c>
      <c r="I58" s="38" t="s">
        <v>122</v>
      </c>
      <c r="J58" s="307"/>
      <c r="K58" s="307"/>
      <c r="L58" s="307"/>
      <c r="M58" s="33">
        <f>'3.Riepilogo carichi unitari'!$E$9</f>
        <v>5.184075</v>
      </c>
      <c r="N58" s="33"/>
      <c r="O58" s="92">
        <f>'3.Riepilogo carichi unitari'!$J$9</f>
        <v>3.9877500000000001</v>
      </c>
    </row>
    <row r="59" spans="1:15">
      <c r="A59" s="38" t="s">
        <v>123</v>
      </c>
      <c r="B59" s="307"/>
      <c r="C59" s="307"/>
      <c r="D59" s="307"/>
      <c r="E59" s="33" t="s">
        <v>120</v>
      </c>
      <c r="F59" s="33"/>
      <c r="G59" s="92"/>
      <c r="I59" s="38" t="s">
        <v>123</v>
      </c>
      <c r="J59" s="307"/>
      <c r="K59" s="307"/>
      <c r="L59" s="307"/>
      <c r="M59" s="33" t="s">
        <v>120</v>
      </c>
      <c r="N59" s="33"/>
      <c r="O59" s="92"/>
    </row>
    <row r="60" spans="1:15">
      <c r="A60" s="53" t="s">
        <v>49</v>
      </c>
      <c r="B60" s="41"/>
      <c r="C60" s="41"/>
      <c r="D60" s="41"/>
      <c r="E60" s="40">
        <f>SUM(E56:E59)</f>
        <v>53.816355509576617</v>
      </c>
      <c r="F60" s="40">
        <f>SUM(F56:F59)</f>
        <v>32.723999999999997</v>
      </c>
      <c r="G60" s="92"/>
      <c r="I60" s="53" t="s">
        <v>49</v>
      </c>
      <c r="J60" s="41"/>
      <c r="K60" s="41"/>
      <c r="L60" s="41"/>
      <c r="M60" s="40">
        <f>SUM(M57:M59)</f>
        <v>34.188774257980512</v>
      </c>
      <c r="N60" s="40">
        <f>SUM(N57:N59)</f>
        <v>18.84</v>
      </c>
      <c r="O60" s="92"/>
    </row>
    <row r="61" spans="1:15" ht="33.75" customHeight="1">
      <c r="A61" s="82"/>
      <c r="B61" s="83"/>
      <c r="C61" s="83"/>
      <c r="D61" s="84"/>
      <c r="E61" s="349" t="s">
        <v>179</v>
      </c>
      <c r="F61" s="350"/>
      <c r="G61" s="311" t="s">
        <v>178</v>
      </c>
      <c r="I61" s="82"/>
      <c r="J61" s="83"/>
      <c r="K61" s="83"/>
      <c r="L61" s="84"/>
      <c r="M61" s="349" t="s">
        <v>179</v>
      </c>
      <c r="N61" s="350"/>
      <c r="O61" s="311" t="s">
        <v>178</v>
      </c>
    </row>
    <row r="62" spans="1:15">
      <c r="A62" s="53" t="s">
        <v>177</v>
      </c>
      <c r="B62" s="87"/>
      <c r="C62" s="88"/>
      <c r="D62" s="88"/>
      <c r="E62" s="102">
        <f>E60+F60</f>
        <v>86.540355509576614</v>
      </c>
      <c r="F62" s="103"/>
      <c r="G62" s="98">
        <f>SUM(G56:G59)</f>
        <v>52.46359654582816</v>
      </c>
      <c r="I62" s="53" t="s">
        <v>177</v>
      </c>
      <c r="J62" s="87"/>
      <c r="K62" s="88"/>
      <c r="L62" s="88"/>
      <c r="M62" s="102">
        <f>M60+N60</f>
        <v>53.028774257980515</v>
      </c>
      <c r="N62" s="103"/>
      <c r="O62" s="98">
        <f>SUM(O57:O59)</f>
        <v>33.835057121523469</v>
      </c>
    </row>
    <row r="63" spans="1:15">
      <c r="A63" s="56"/>
      <c r="B63" s="31"/>
      <c r="C63" s="31"/>
      <c r="D63" s="56"/>
      <c r="E63" s="56"/>
      <c r="F63" s="56"/>
      <c r="G63" s="56"/>
      <c r="I63" s="56"/>
      <c r="J63" s="31"/>
      <c r="K63" s="31"/>
      <c r="L63" s="31"/>
      <c r="M63" s="104"/>
      <c r="N63" s="104"/>
      <c r="O63" s="105"/>
    </row>
    <row r="65" spans="1:20">
      <c r="A65" s="351" t="s">
        <v>175</v>
      </c>
      <c r="B65" s="351"/>
      <c r="C65" s="351"/>
      <c r="D65" s="351"/>
      <c r="E65" s="351"/>
      <c r="F65" s="351"/>
      <c r="G65" s="351"/>
      <c r="H65" s="78"/>
      <c r="I65" s="78"/>
      <c r="J65" s="78"/>
      <c r="K65" s="78"/>
      <c r="L65" s="78"/>
      <c r="M65" s="78"/>
      <c r="N65" s="78"/>
      <c r="O65" s="78"/>
    </row>
    <row r="66" spans="1:20">
      <c r="A66" s="352"/>
      <c r="B66" s="352"/>
      <c r="C66" s="352"/>
      <c r="D66" s="352"/>
      <c r="E66" s="352"/>
      <c r="F66" s="352"/>
      <c r="G66" s="352"/>
      <c r="H66" s="79"/>
      <c r="I66" s="79"/>
      <c r="J66" s="79"/>
      <c r="K66" s="79"/>
      <c r="L66" s="79"/>
      <c r="M66" s="79"/>
      <c r="N66" s="79"/>
      <c r="O66" s="79"/>
    </row>
    <row r="68" spans="1:20" ht="15.75" thickBot="1">
      <c r="A68" s="357" t="s">
        <v>185</v>
      </c>
      <c r="B68" s="358"/>
      <c r="C68" s="358"/>
      <c r="D68" s="358"/>
      <c r="E68" s="358"/>
      <c r="F68" s="359"/>
      <c r="H68" s="357" t="s">
        <v>468</v>
      </c>
      <c r="I68" s="358"/>
      <c r="J68" s="358"/>
      <c r="K68" s="358"/>
      <c r="L68" s="358"/>
      <c r="M68" s="359"/>
      <c r="O68" s="357" t="s">
        <v>472</v>
      </c>
      <c r="P68" s="358"/>
      <c r="Q68" s="358"/>
      <c r="R68" s="358"/>
      <c r="S68" s="358"/>
      <c r="T68" s="359"/>
    </row>
    <row r="69" spans="1:20" ht="38.25" customHeight="1" thickTop="1">
      <c r="A69" s="38"/>
      <c r="B69" s="353" t="s">
        <v>183</v>
      </c>
      <c r="C69" s="353"/>
      <c r="D69" s="308" t="s">
        <v>180</v>
      </c>
      <c r="E69" s="308" t="s">
        <v>116</v>
      </c>
      <c r="F69" s="90" t="s">
        <v>181</v>
      </c>
      <c r="H69" s="38"/>
      <c r="I69" s="353" t="s">
        <v>183</v>
      </c>
      <c r="J69" s="353"/>
      <c r="K69" s="308" t="s">
        <v>180</v>
      </c>
      <c r="L69" s="308" t="s">
        <v>116</v>
      </c>
      <c r="M69" s="90" t="s">
        <v>181</v>
      </c>
      <c r="O69" s="38"/>
      <c r="P69" s="353" t="s">
        <v>183</v>
      </c>
      <c r="Q69" s="353"/>
      <c r="R69" s="308" t="s">
        <v>180</v>
      </c>
      <c r="S69" s="308" t="s">
        <v>116</v>
      </c>
      <c r="T69" s="90" t="s">
        <v>181</v>
      </c>
    </row>
    <row r="70" spans="1:20">
      <c r="A70" s="38" t="s">
        <v>119</v>
      </c>
      <c r="B70" s="325">
        <v>0.5</v>
      </c>
      <c r="C70" s="325"/>
      <c r="D70" s="33">
        <f>B70*('3.Riepilogo carichi unitari'!$E$5)</f>
        <v>2.4774750000000005</v>
      </c>
      <c r="E70" s="33">
        <f>B70*'3.Riepilogo carichi unitari'!$G$5</f>
        <v>1.5</v>
      </c>
      <c r="F70" s="92">
        <f>B70*'3.Riepilogo carichi unitari'!$J$5</f>
        <v>2.2057500000000001</v>
      </c>
      <c r="H70" s="38" t="s">
        <v>467</v>
      </c>
      <c r="I70" s="325">
        <v>0.5</v>
      </c>
      <c r="J70" s="325"/>
      <c r="K70" s="33">
        <f>I70*('3.Riepilogo carichi unitari'!$E$5)</f>
        <v>2.4774750000000005</v>
      </c>
      <c r="L70" s="33">
        <f>I70*'3.Riepilogo carichi unitari'!$G$5</f>
        <v>1.5</v>
      </c>
      <c r="M70" s="92">
        <f>I70*'3.Riepilogo carichi unitari'!$J$5</f>
        <v>2.2057500000000001</v>
      </c>
      <c r="O70" s="38" t="s">
        <v>119</v>
      </c>
      <c r="P70" s="325">
        <v>0.5</v>
      </c>
      <c r="Q70" s="325"/>
      <c r="R70" s="33">
        <f>P70*('3.Riepilogo carichi unitari'!$E$5)</f>
        <v>2.4774750000000005</v>
      </c>
      <c r="S70" s="33">
        <f>P70*'3.Riepilogo carichi unitari'!$G$5</f>
        <v>1.5</v>
      </c>
      <c r="T70" s="92">
        <f>P70*'3.Riepilogo carichi unitari'!$J$5</f>
        <v>2.2057500000000001</v>
      </c>
    </row>
    <row r="71" spans="1:20">
      <c r="A71" s="38" t="s">
        <v>121</v>
      </c>
      <c r="B71" s="325">
        <v>0.5</v>
      </c>
      <c r="C71" s="325"/>
      <c r="D71" s="33">
        <f>B71*('3.Riepilogo carichi unitari'!$E$5)</f>
        <v>2.4774750000000005</v>
      </c>
      <c r="E71" s="33">
        <f>B71*'3.Riepilogo carichi unitari'!$G$5</f>
        <v>1.5</v>
      </c>
      <c r="F71" s="92">
        <f>B71*'3.Riepilogo carichi unitari'!$J$5</f>
        <v>2.2057500000000001</v>
      </c>
      <c r="H71" s="38"/>
      <c r="I71" s="325"/>
      <c r="J71" s="325"/>
      <c r="K71" s="33"/>
      <c r="L71" s="33"/>
      <c r="M71" s="92"/>
      <c r="O71" s="38" t="s">
        <v>199</v>
      </c>
      <c r="P71" s="325">
        <v>0.5</v>
      </c>
      <c r="Q71" s="325"/>
      <c r="R71" s="33">
        <f>P71*('3.Riepilogo carichi unitari'!$E$8)</f>
        <v>4.618582684391801</v>
      </c>
      <c r="S71" s="33">
        <f>P71*'3.Riepilogo carichi unitari'!$G$8</f>
        <v>3</v>
      </c>
      <c r="T71" s="92">
        <f>P71*'3.Riepilogo carichi unitari'!$J$8</f>
        <v>4.7527559110706159</v>
      </c>
    </row>
    <row r="72" spans="1:20">
      <c r="A72" s="38" t="s">
        <v>122</v>
      </c>
      <c r="B72" s="307"/>
      <c r="C72" s="307"/>
      <c r="D72" s="33">
        <f>'3.Riepilogo carichi unitari'!$E$10</f>
        <v>2.3026249999999999</v>
      </c>
      <c r="E72" s="33"/>
      <c r="F72" s="92">
        <f>'3.Riepilogo carichi unitari'!$J$10</f>
        <v>1.7712499999999998</v>
      </c>
      <c r="H72" s="38" t="s">
        <v>122</v>
      </c>
      <c r="I72" s="307"/>
      <c r="J72" s="307"/>
      <c r="K72" s="33">
        <f>'3.Riepilogo carichi unitari'!$E$9</f>
        <v>5.184075</v>
      </c>
      <c r="L72" s="33"/>
      <c r="M72" s="92">
        <f>'3.Riepilogo carichi unitari'!$J$10</f>
        <v>1.7712499999999998</v>
      </c>
      <c r="O72" s="38" t="s">
        <v>122</v>
      </c>
      <c r="P72" s="307"/>
      <c r="Q72" s="307"/>
      <c r="R72" s="33">
        <f>'3.Riepilogo carichi unitari'!$E$9</f>
        <v>5.184075</v>
      </c>
      <c r="S72" s="33"/>
      <c r="T72" s="92">
        <f>'3.Riepilogo carichi unitari'!$J$10</f>
        <v>1.7712499999999998</v>
      </c>
    </row>
    <row r="73" spans="1:20">
      <c r="A73" s="53"/>
      <c r="B73" s="41"/>
      <c r="C73" s="41"/>
      <c r="D73" s="40">
        <f>SUM(D70:D72)</f>
        <v>7.257575000000001</v>
      </c>
      <c r="E73" s="40">
        <f>SUM(E70:E72)</f>
        <v>3</v>
      </c>
      <c r="F73" s="92"/>
      <c r="H73" s="53"/>
      <c r="I73" s="41"/>
      <c r="J73" s="41"/>
      <c r="K73" s="40">
        <f>SUM(K70:K72)</f>
        <v>7.6615500000000001</v>
      </c>
      <c r="L73" s="40">
        <f>SUM(L70:L72)</f>
        <v>1.5</v>
      </c>
      <c r="M73" s="92"/>
      <c r="O73" s="53"/>
      <c r="P73" s="41"/>
      <c r="Q73" s="41"/>
      <c r="R73" s="40">
        <f>SUM(R70:R72)</f>
        <v>12.280132684391802</v>
      </c>
      <c r="S73" s="40">
        <f>SUM(S70:S72)</f>
        <v>4.5</v>
      </c>
      <c r="T73" s="92"/>
    </row>
    <row r="74" spans="1:20" ht="33" customHeight="1">
      <c r="A74" s="82"/>
      <c r="B74" s="83"/>
      <c r="C74" s="83"/>
      <c r="D74" s="349" t="s">
        <v>179</v>
      </c>
      <c r="E74" s="350"/>
      <c r="F74" s="311" t="s">
        <v>178</v>
      </c>
      <c r="H74" s="82"/>
      <c r="I74" s="83"/>
      <c r="J74" s="83"/>
      <c r="K74" s="349" t="s">
        <v>179</v>
      </c>
      <c r="L74" s="350"/>
      <c r="M74" s="311" t="s">
        <v>178</v>
      </c>
      <c r="O74" s="82"/>
      <c r="P74" s="83"/>
      <c r="Q74" s="83"/>
      <c r="R74" s="349" t="s">
        <v>179</v>
      </c>
      <c r="S74" s="350"/>
      <c r="T74" s="311" t="s">
        <v>178</v>
      </c>
    </row>
    <row r="75" spans="1:20">
      <c r="A75" s="53" t="s">
        <v>177</v>
      </c>
      <c r="B75" s="87"/>
      <c r="C75" s="88"/>
      <c r="D75" s="102">
        <f>D73+E73</f>
        <v>10.257575000000001</v>
      </c>
      <c r="E75" s="103"/>
      <c r="F75" s="98">
        <f>SUM(F70:F72)</f>
        <v>6.1827500000000004</v>
      </c>
      <c r="H75" s="53" t="s">
        <v>177</v>
      </c>
      <c r="I75" s="87"/>
      <c r="J75" s="88"/>
      <c r="K75" s="102">
        <f>K73+L73</f>
        <v>9.1615500000000001</v>
      </c>
      <c r="L75" s="103"/>
      <c r="M75" s="98">
        <f>SUM(M70:M72)</f>
        <v>3.9769999999999999</v>
      </c>
      <c r="O75" s="53" t="s">
        <v>177</v>
      </c>
      <c r="P75" s="87"/>
      <c r="Q75" s="88"/>
      <c r="R75" s="102">
        <f>R73+S73</f>
        <v>16.780132684391802</v>
      </c>
      <c r="S75" s="103"/>
      <c r="T75" s="98">
        <f>SUM(T70:T72)</f>
        <v>8.7297559110706153</v>
      </c>
    </row>
    <row r="78" spans="1:20" ht="15" customHeight="1">
      <c r="A78" s="351" t="s">
        <v>176</v>
      </c>
      <c r="B78" s="351"/>
      <c r="C78" s="351"/>
      <c r="D78" s="351"/>
      <c r="E78" s="351"/>
      <c r="F78" s="351"/>
      <c r="G78" s="351"/>
      <c r="H78" s="78"/>
      <c r="I78" s="78"/>
      <c r="J78" s="78"/>
      <c r="K78" s="78"/>
      <c r="L78" s="78"/>
      <c r="M78" s="78"/>
      <c r="N78" s="78"/>
      <c r="O78" s="78"/>
    </row>
    <row r="79" spans="1:20" ht="15" customHeight="1">
      <c r="A79" s="352"/>
      <c r="B79" s="352"/>
      <c r="C79" s="352"/>
      <c r="D79" s="352"/>
      <c r="E79" s="352"/>
      <c r="F79" s="352"/>
      <c r="G79" s="352"/>
      <c r="H79" s="79"/>
      <c r="I79" s="79"/>
      <c r="J79" s="79"/>
      <c r="K79" s="79"/>
      <c r="L79" s="79"/>
      <c r="M79" s="79"/>
      <c r="N79" s="79"/>
      <c r="O79" s="79"/>
    </row>
    <row r="81" spans="1:7">
      <c r="A81" s="362" t="s">
        <v>184</v>
      </c>
      <c r="B81" s="363"/>
      <c r="C81" s="363"/>
      <c r="D81" s="363"/>
      <c r="E81" s="363"/>
      <c r="F81" s="363"/>
      <c r="G81" s="364"/>
    </row>
    <row r="82" spans="1:7" ht="33">
      <c r="A82" s="38"/>
      <c r="B82" s="91"/>
      <c r="C82" s="308" t="s">
        <v>182</v>
      </c>
      <c r="D82" s="307"/>
      <c r="E82" s="308" t="s">
        <v>180</v>
      </c>
      <c r="F82" s="308" t="s">
        <v>116</v>
      </c>
      <c r="G82" s="90" t="s">
        <v>181</v>
      </c>
    </row>
    <row r="83" spans="1:7">
      <c r="A83" s="38" t="s">
        <v>119</v>
      </c>
      <c r="B83" s="307">
        <v>2</v>
      </c>
      <c r="C83" s="33">
        <v>1.85</v>
      </c>
      <c r="D83" s="33">
        <f>B83*(C83)</f>
        <v>3.7</v>
      </c>
      <c r="E83" s="33">
        <f>D83*('3.Riepilogo carichi unitari'!$E$5)</f>
        <v>18.333315000000006</v>
      </c>
      <c r="F83" s="33">
        <f>D83*'3.Riepilogo carichi unitari'!$G$5</f>
        <v>11.100000000000001</v>
      </c>
      <c r="G83" s="92">
        <f>D83*'3.Riepilogo carichi unitari'!$J$5</f>
        <v>16.322550000000003</v>
      </c>
    </row>
    <row r="84" spans="1:7">
      <c r="A84" s="38" t="s">
        <v>122</v>
      </c>
      <c r="B84" s="307"/>
      <c r="C84" s="307"/>
      <c r="D84" s="307"/>
      <c r="E84" s="33">
        <f>'3.Riepilogo carichi unitari'!$E$9</f>
        <v>5.184075</v>
      </c>
      <c r="F84" s="33"/>
      <c r="G84" s="92">
        <f>'3.Riepilogo carichi unitari'!$J$7</f>
        <v>6.2115000000000009</v>
      </c>
    </row>
    <row r="85" spans="1:7">
      <c r="A85" s="53"/>
      <c r="B85" s="41"/>
      <c r="C85" s="41"/>
      <c r="D85" s="41"/>
      <c r="E85" s="40">
        <f>SUM(E83:E84)</f>
        <v>23.517390000000006</v>
      </c>
      <c r="F85" s="40">
        <f>SUM(F83:F84)</f>
        <v>11.100000000000001</v>
      </c>
      <c r="G85" s="92"/>
    </row>
    <row r="86" spans="1:7" ht="30">
      <c r="A86" s="82"/>
      <c r="B86" s="83"/>
      <c r="C86" s="83"/>
      <c r="D86" s="84"/>
      <c r="E86" s="349" t="s">
        <v>179</v>
      </c>
      <c r="F86" s="350"/>
      <c r="G86" s="311" t="s">
        <v>178</v>
      </c>
    </row>
    <row r="87" spans="1:7">
      <c r="A87" s="53" t="s">
        <v>177</v>
      </c>
      <c r="B87" s="87"/>
      <c r="C87" s="88"/>
      <c r="D87" s="88"/>
      <c r="E87" s="102">
        <f>E85+F85</f>
        <v>34.617390000000007</v>
      </c>
      <c r="F87" s="103"/>
      <c r="G87" s="98">
        <f>SUM(G83:G84)</f>
        <v>22.534050000000004</v>
      </c>
    </row>
  </sheetData>
  <mergeCells count="44">
    <mergeCell ref="I70:J70"/>
    <mergeCell ref="I71:J71"/>
    <mergeCell ref="K74:L74"/>
    <mergeCell ref="O68:T68"/>
    <mergeCell ref="P69:Q69"/>
    <mergeCell ref="P70:Q70"/>
    <mergeCell ref="P71:Q71"/>
    <mergeCell ref="R74:S74"/>
    <mergeCell ref="A78:G79"/>
    <mergeCell ref="A81:G81"/>
    <mergeCell ref="E86:F86"/>
    <mergeCell ref="A1:H2"/>
    <mergeCell ref="A65:G66"/>
    <mergeCell ref="A68:F68"/>
    <mergeCell ref="B69:C69"/>
    <mergeCell ref="B70:C70"/>
    <mergeCell ref="B71:C71"/>
    <mergeCell ref="D74:E74"/>
    <mergeCell ref="E51:F51"/>
    <mergeCell ref="A34:F34"/>
    <mergeCell ref="E21:F21"/>
    <mergeCell ref="A4:F4"/>
    <mergeCell ref="H68:M68"/>
    <mergeCell ref="I69:J69"/>
    <mergeCell ref="M51:N51"/>
    <mergeCell ref="A54:F54"/>
    <mergeCell ref="I54:N54"/>
    <mergeCell ref="E61:F61"/>
    <mergeCell ref="M61:N61"/>
    <mergeCell ref="I34:N34"/>
    <mergeCell ref="E41:F41"/>
    <mergeCell ref="M41:N41"/>
    <mergeCell ref="A44:F44"/>
    <mergeCell ref="I44:N44"/>
    <mergeCell ref="M21:N21"/>
    <mergeCell ref="A24:F24"/>
    <mergeCell ref="I24:N24"/>
    <mergeCell ref="E31:F31"/>
    <mergeCell ref="M31:N31"/>
    <mergeCell ref="I4:N4"/>
    <mergeCell ref="E11:F11"/>
    <mergeCell ref="M11:N11"/>
    <mergeCell ref="A14:F14"/>
    <mergeCell ref="I14:N1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J37"/>
  <sheetViews>
    <sheetView topLeftCell="B22" workbookViewId="0">
      <selection activeCell="I42" sqref="I42"/>
    </sheetView>
  </sheetViews>
  <sheetFormatPr defaultRowHeight="15"/>
  <cols>
    <col min="2" max="2" width="26.28515625" customWidth="1"/>
    <col min="3" max="3" width="15.42578125" customWidth="1"/>
    <col min="4" max="4" width="13.140625" customWidth="1"/>
    <col min="5" max="5" width="12.42578125" customWidth="1"/>
    <col min="7" max="8" width="15.5703125" customWidth="1"/>
    <col min="9" max="9" width="17" customWidth="1"/>
  </cols>
  <sheetData>
    <row r="1" spans="2:10">
      <c r="B1" s="371" t="s">
        <v>460</v>
      </c>
      <c r="C1" s="372"/>
      <c r="D1" s="372"/>
      <c r="E1" s="373"/>
    </row>
    <row r="2" spans="2:10">
      <c r="B2" s="374"/>
      <c r="C2" s="375"/>
      <c r="D2" s="375"/>
      <c r="E2" s="376"/>
    </row>
    <row r="3" spans="2:10" ht="15" customHeight="1">
      <c r="B3" s="377" t="s">
        <v>187</v>
      </c>
      <c r="C3" s="378" t="s">
        <v>131</v>
      </c>
      <c r="D3" s="370" t="s">
        <v>130</v>
      </c>
      <c r="E3" s="370"/>
      <c r="F3" s="369" t="s">
        <v>140</v>
      </c>
      <c r="G3" s="365" t="s">
        <v>291</v>
      </c>
      <c r="H3" s="291"/>
      <c r="I3" s="367" t="s">
        <v>292</v>
      </c>
      <c r="J3" s="369" t="s">
        <v>140</v>
      </c>
    </row>
    <row r="4" spans="2:10" ht="30">
      <c r="B4" s="377"/>
      <c r="C4" s="378"/>
      <c r="D4" s="100" t="s">
        <v>186</v>
      </c>
      <c r="E4" s="100" t="s">
        <v>178</v>
      </c>
      <c r="F4" s="368"/>
      <c r="G4" s="366"/>
      <c r="H4" s="292"/>
      <c r="I4" s="368"/>
      <c r="J4" s="368"/>
    </row>
    <row r="5" spans="2:10">
      <c r="B5" s="57" t="s">
        <v>188</v>
      </c>
      <c r="C5" s="30" t="s">
        <v>126</v>
      </c>
      <c r="D5" s="12">
        <f>'4.Carichi su travi solaio tipo'!$E$12</f>
        <v>59.239707500000002</v>
      </c>
      <c r="E5" s="12">
        <f>'4.Carichi su travi solaio tipo'!$G$12</f>
        <v>36.739775000000002</v>
      </c>
      <c r="F5" s="30" t="s">
        <v>102</v>
      </c>
      <c r="G5" s="67">
        <v>6.55</v>
      </c>
      <c r="H5" s="164">
        <f>(D5*(G5^2))/10</f>
        <v>254.15315510187497</v>
      </c>
      <c r="I5" s="164">
        <f t="shared" ref="I5:I18" si="0">(E5*(G5^2))/10</f>
        <v>157.62281969374999</v>
      </c>
      <c r="J5" s="160" t="s">
        <v>293</v>
      </c>
    </row>
    <row r="6" spans="2:10">
      <c r="B6" s="57" t="s">
        <v>189</v>
      </c>
      <c r="C6" s="30" t="s">
        <v>126</v>
      </c>
      <c r="D6" s="12">
        <f>'4.Carichi su travi solaio tipo'!$M$22</f>
        <v>45.615578000000006</v>
      </c>
      <c r="E6" s="12">
        <f>'4.Carichi su travi solaio tipo'!$O$22</f>
        <v>29.14706</v>
      </c>
      <c r="F6" s="30" t="s">
        <v>102</v>
      </c>
      <c r="G6" s="67">
        <v>3.8</v>
      </c>
      <c r="H6" s="164">
        <f t="shared" ref="H6:H18" si="1">(D6*(G6^2))/10</f>
        <v>65.868894632000007</v>
      </c>
      <c r="I6" s="161">
        <f t="shared" si="0"/>
        <v>42.088354639999999</v>
      </c>
      <c r="J6" s="160" t="s">
        <v>293</v>
      </c>
    </row>
    <row r="7" spans="2:10">
      <c r="B7" s="57" t="s">
        <v>129</v>
      </c>
      <c r="C7" s="30" t="s">
        <v>126</v>
      </c>
      <c r="D7" s="12">
        <f>'4.Carichi su travi solaio tipo'!$M$62</f>
        <v>53.028774257980515</v>
      </c>
      <c r="E7" s="12">
        <f>'4.Carichi su travi solaio tipo'!$O$62</f>
        <v>33.835057121523469</v>
      </c>
      <c r="F7" s="30" t="s">
        <v>102</v>
      </c>
      <c r="G7" s="67">
        <v>2.8</v>
      </c>
      <c r="H7" s="164">
        <f t="shared" si="1"/>
        <v>41.574559018256721</v>
      </c>
      <c r="I7" s="161">
        <f t="shared" si="0"/>
        <v>26.526684783274398</v>
      </c>
      <c r="J7" s="160" t="s">
        <v>293</v>
      </c>
    </row>
    <row r="8" spans="2:10">
      <c r="B8" s="57" t="s">
        <v>190</v>
      </c>
      <c r="C8" s="30" t="s">
        <v>126</v>
      </c>
      <c r="D8" s="12">
        <f>'4.Carichi su travi solaio tipo'!$E$22</f>
        <v>53.342403000000004</v>
      </c>
      <c r="E8" s="12">
        <f>'4.Carichi su travi solaio tipo'!$G$22</f>
        <v>32.252310000000001</v>
      </c>
      <c r="F8" s="30" t="s">
        <v>102</v>
      </c>
      <c r="G8" s="67">
        <v>4.7</v>
      </c>
      <c r="H8" s="164">
        <f t="shared" si="1"/>
        <v>117.83336822700002</v>
      </c>
      <c r="I8" s="161">
        <f t="shared" si="0"/>
        <v>71.245352790000013</v>
      </c>
      <c r="J8" s="160" t="s">
        <v>293</v>
      </c>
    </row>
    <row r="9" spans="2:10">
      <c r="B9" s="57" t="s">
        <v>191</v>
      </c>
      <c r="C9" s="30" t="s">
        <v>127</v>
      </c>
      <c r="D9" s="12">
        <f>'4.Carichi su travi solaio tipo'!$M$12</f>
        <v>38.736242278124941</v>
      </c>
      <c r="E9" s="12">
        <f>'4.Carichi su travi solaio tipo'!$O$12</f>
        <v>18.55216456743679</v>
      </c>
      <c r="F9" s="30" t="s">
        <v>102</v>
      </c>
      <c r="G9" s="67">
        <v>3.1</v>
      </c>
      <c r="H9" s="164">
        <f t="shared" si="1"/>
        <v>37.225528829278076</v>
      </c>
      <c r="I9" s="161">
        <f t="shared" si="0"/>
        <v>17.828630149306758</v>
      </c>
      <c r="J9" s="160" t="s">
        <v>293</v>
      </c>
    </row>
    <row r="10" spans="2:10">
      <c r="B10" s="57" t="s">
        <v>192</v>
      </c>
      <c r="C10" s="30" t="s">
        <v>126</v>
      </c>
      <c r="D10" s="12">
        <f>'4.Carichi su travi solaio tipo'!$E$32</f>
        <v>48.775665000000004</v>
      </c>
      <c r="E10" s="12">
        <f>'4.Carichi su travi solaio tipo'!$G$32</f>
        <v>29.572049999999997</v>
      </c>
      <c r="F10" s="30" t="s">
        <v>102</v>
      </c>
      <c r="G10" s="67">
        <v>4.6500000000000004</v>
      </c>
      <c r="H10" s="164">
        <f t="shared" si="1"/>
        <v>105.46518164625002</v>
      </c>
      <c r="I10" s="161">
        <f t="shared" si="0"/>
        <v>63.942165112500007</v>
      </c>
      <c r="J10" s="160" t="s">
        <v>293</v>
      </c>
    </row>
    <row r="11" spans="2:10">
      <c r="B11" s="57" t="s">
        <v>193</v>
      </c>
      <c r="C11" s="30" t="s">
        <v>126</v>
      </c>
      <c r="D11" s="12">
        <f>'4.Carichi su travi solaio tipo'!$M$32</f>
        <v>79.289777999999998</v>
      </c>
      <c r="E11" s="12">
        <f>'4.Carichi su travi solaio tipo'!$O$32</f>
        <v>47.481059999999992</v>
      </c>
      <c r="F11" s="30" t="s">
        <v>102</v>
      </c>
      <c r="G11" s="67">
        <v>5.85</v>
      </c>
      <c r="H11" s="164">
        <f t="shared" si="1"/>
        <v>271.34944276049998</v>
      </c>
      <c r="I11" s="164">
        <f t="shared" si="0"/>
        <v>162.49205758499994</v>
      </c>
      <c r="J11" s="160" t="s">
        <v>293</v>
      </c>
    </row>
    <row r="12" spans="2:10">
      <c r="B12" s="57" t="s">
        <v>128</v>
      </c>
      <c r="C12" s="30" t="s">
        <v>127</v>
      </c>
      <c r="D12" s="12">
        <f>'4.Carichi su travi solaio tipo'!$E$62</f>
        <v>94.714083509576611</v>
      </c>
      <c r="E12" s="12">
        <f>'4.Carichi su travi solaio tipo'!$G$62</f>
        <v>58.128556545828161</v>
      </c>
      <c r="F12" s="30" t="s">
        <v>102</v>
      </c>
      <c r="G12" s="67">
        <v>2.8</v>
      </c>
      <c r="H12" s="164">
        <f t="shared" si="1"/>
        <v>74.255841471508049</v>
      </c>
      <c r="I12" s="164">
        <f t="shared" si="0"/>
        <v>45.572788331929274</v>
      </c>
      <c r="J12" s="160" t="s">
        <v>293</v>
      </c>
    </row>
    <row r="13" spans="2:10">
      <c r="B13" s="57" t="s">
        <v>194</v>
      </c>
      <c r="C13" s="30" t="s">
        <v>126</v>
      </c>
      <c r="D13" s="12">
        <f>'4.Carichi su travi solaio tipo'!$E$42</f>
        <v>49.138928250000006</v>
      </c>
      <c r="E13" s="12">
        <f>'4.Carichi su travi solaio tipo'!$G$42</f>
        <v>29.785252499999999</v>
      </c>
      <c r="F13" s="30" t="s">
        <v>102</v>
      </c>
      <c r="G13" s="67">
        <v>4.6500000000000004</v>
      </c>
      <c r="H13" s="164">
        <f t="shared" si="1"/>
        <v>106.25064760856253</v>
      </c>
      <c r="I13" s="161">
        <f t="shared" si="0"/>
        <v>64.403162218125004</v>
      </c>
      <c r="J13" s="160" t="s">
        <v>293</v>
      </c>
    </row>
    <row r="14" spans="2:10">
      <c r="B14" s="57" t="s">
        <v>195</v>
      </c>
      <c r="C14" s="30" t="s">
        <v>127</v>
      </c>
      <c r="D14" s="12">
        <f>'4.Carichi su travi solaio tipo'!$M$42</f>
        <v>42.220340462194628</v>
      </c>
      <c r="E14" s="12">
        <f>'4.Carichi su travi solaio tipo'!$O$42</f>
        <v>25.199319673517895</v>
      </c>
      <c r="F14" s="30" t="s">
        <v>102</v>
      </c>
      <c r="G14" s="67">
        <v>2.2000000000000002</v>
      </c>
      <c r="H14" s="164">
        <f t="shared" si="1"/>
        <v>20.434644783702204</v>
      </c>
      <c r="I14" s="161">
        <f t="shared" si="0"/>
        <v>12.196470721982664</v>
      </c>
      <c r="J14" s="160" t="s">
        <v>293</v>
      </c>
    </row>
    <row r="15" spans="2:10">
      <c r="B15" s="57" t="s">
        <v>203</v>
      </c>
      <c r="C15" s="30" t="s">
        <v>126</v>
      </c>
      <c r="D15" s="12">
        <f>'4.Carichi su travi solaio tipo'!$M$52</f>
        <v>42.190524500000002</v>
      </c>
      <c r="E15" s="12">
        <f>'4.Carichi su travi solaio tipo'!$O$52</f>
        <v>27.136865000000004</v>
      </c>
      <c r="F15" s="30" t="s">
        <v>102</v>
      </c>
      <c r="G15" s="67">
        <v>3.8</v>
      </c>
      <c r="H15" s="164">
        <f t="shared" si="1"/>
        <v>60.923117378000008</v>
      </c>
      <c r="I15" s="161">
        <f t="shared" si="0"/>
        <v>39.185633060000001</v>
      </c>
      <c r="J15" s="160" t="s">
        <v>293</v>
      </c>
    </row>
    <row r="16" spans="2:10">
      <c r="B16" s="57" t="s">
        <v>196</v>
      </c>
      <c r="C16" s="30" t="s">
        <v>126</v>
      </c>
      <c r="D16" s="12">
        <f>'4.Carichi su travi solaio tipo'!$E$52</f>
        <v>57.267707000000009</v>
      </c>
      <c r="E16" s="12">
        <f>'4.Carichi su travi solaio tipo'!$G$52</f>
        <v>35.582390000000004</v>
      </c>
      <c r="F16" s="77" t="s">
        <v>102</v>
      </c>
      <c r="G16" s="67">
        <v>6.55</v>
      </c>
      <c r="H16" s="164">
        <f t="shared" si="1"/>
        <v>245.69277995675003</v>
      </c>
      <c r="I16" s="161">
        <f t="shared" si="0"/>
        <v>152.6573486975</v>
      </c>
      <c r="J16" s="160" t="s">
        <v>293</v>
      </c>
    </row>
    <row r="17" spans="2:10" ht="30.75" customHeight="1">
      <c r="B17" s="163" t="s">
        <v>197</v>
      </c>
      <c r="C17" s="160" t="s">
        <v>127</v>
      </c>
      <c r="D17" s="161">
        <f>'4.Carichi su travi solaio tipo'!$D$75</f>
        <v>12.681575</v>
      </c>
      <c r="E17" s="161">
        <f>'4.Carichi su travi solaio tipo'!$F$75</f>
        <v>7.8627500000000001</v>
      </c>
      <c r="F17" s="160" t="s">
        <v>102</v>
      </c>
      <c r="G17" s="67">
        <f>(4.62+3.78+5.62)/3</f>
        <v>4.6733333333333329</v>
      </c>
      <c r="H17" s="164">
        <f t="shared" si="1"/>
        <v>27.69661616255555</v>
      </c>
      <c r="I17" s="161">
        <f t="shared" si="0"/>
        <v>17.172280945555553</v>
      </c>
      <c r="J17" s="160" t="s">
        <v>293</v>
      </c>
    </row>
    <row r="18" spans="2:10" ht="30">
      <c r="B18" s="315" t="s">
        <v>198</v>
      </c>
      <c r="C18" s="160" t="s">
        <v>126</v>
      </c>
      <c r="D18" s="161">
        <f>'4.Carichi su travi solaio tipo'!$E$87</f>
        <v>45.717390000000009</v>
      </c>
      <c r="E18" s="161">
        <f>'4.Carichi su travi solaio tipo'!$G$87</f>
        <v>29.194050000000004</v>
      </c>
      <c r="F18" s="160" t="s">
        <v>102</v>
      </c>
      <c r="G18" s="67">
        <f>(5+3.78+4.62+3.5)/4</f>
        <v>4.2249999999999996</v>
      </c>
      <c r="H18" s="164">
        <f t="shared" si="1"/>
        <v>81.608398486875004</v>
      </c>
      <c r="I18" s="164">
        <f t="shared" si="0"/>
        <v>52.113203878124999</v>
      </c>
      <c r="J18" s="160" t="s">
        <v>293</v>
      </c>
    </row>
    <row r="19" spans="2:10" ht="15" customHeight="1"/>
    <row r="20" spans="2:10">
      <c r="B20" s="371" t="s">
        <v>461</v>
      </c>
      <c r="C20" s="372"/>
      <c r="D20" s="372"/>
      <c r="E20" s="373"/>
    </row>
    <row r="21" spans="2:10">
      <c r="B21" s="374"/>
      <c r="C21" s="375"/>
      <c r="D21" s="375"/>
      <c r="E21" s="376"/>
    </row>
    <row r="22" spans="2:10">
      <c r="B22" s="377" t="s">
        <v>187</v>
      </c>
      <c r="C22" s="378" t="s">
        <v>131</v>
      </c>
      <c r="D22" s="370" t="s">
        <v>130</v>
      </c>
      <c r="E22" s="370"/>
    </row>
    <row r="23" spans="2:10" ht="30">
      <c r="B23" s="377"/>
      <c r="C23" s="378"/>
      <c r="D23" s="100" t="s">
        <v>186</v>
      </c>
      <c r="E23" s="100" t="s">
        <v>178</v>
      </c>
    </row>
    <row r="24" spans="2:10">
      <c r="B24" s="57" t="s">
        <v>188</v>
      </c>
      <c r="C24" s="310" t="s">
        <v>126</v>
      </c>
      <c r="D24" s="161">
        <f>'5.Carichi su travi solaio cop.'!$E$12</f>
        <v>53.179707500000006</v>
      </c>
      <c r="E24" s="161">
        <f>'5.Carichi su travi solaio cop.'!$G$12</f>
        <v>32.539775000000006</v>
      </c>
    </row>
    <row r="25" spans="2:10">
      <c r="B25" s="57" t="s">
        <v>189</v>
      </c>
      <c r="C25" s="310" t="s">
        <v>126</v>
      </c>
      <c r="D25" s="161">
        <f>'5.Carichi su travi solaio cop.'!$M$22</f>
        <v>38.004218000000009</v>
      </c>
      <c r="E25" s="161">
        <f>'5.Carichi su travi solaio cop.'!$O$22</f>
        <v>23.871860000000002</v>
      </c>
    </row>
    <row r="26" spans="2:10">
      <c r="B26" s="57" t="s">
        <v>129</v>
      </c>
      <c r="C26" s="310" t="s">
        <v>126</v>
      </c>
      <c r="D26" s="161">
        <f>'5.Carichi su travi solaio cop.'!$M$62</f>
        <v>53.028774257980515</v>
      </c>
      <c r="E26" s="161">
        <f>'5.Carichi su travi solaio cop.'!$O$62</f>
        <v>33.835057121523469</v>
      </c>
    </row>
    <row r="27" spans="2:10">
      <c r="B27" s="57" t="s">
        <v>190</v>
      </c>
      <c r="C27" s="310" t="s">
        <v>126</v>
      </c>
      <c r="D27" s="161">
        <f>'5.Carichi su travi solaio cop.'!$E$22</f>
        <v>42.095043000000004</v>
      </c>
      <c r="E27" s="161">
        <f>'5.Carichi su travi solaio cop.'!$G$22</f>
        <v>24.45711</v>
      </c>
    </row>
    <row r="28" spans="2:10">
      <c r="B28" s="57" t="s">
        <v>191</v>
      </c>
      <c r="C28" s="310" t="s">
        <v>127</v>
      </c>
      <c r="D28" s="161">
        <f>'5.Carichi su travi solaio cop.'!$M$12</f>
        <v>32.058587035333062</v>
      </c>
      <c r="E28" s="161">
        <f>'5.Carichi su travi solaio cop.'!$O$12</f>
        <v>13.924086676392911</v>
      </c>
    </row>
    <row r="29" spans="2:10">
      <c r="B29" s="57" t="s">
        <v>192</v>
      </c>
      <c r="C29" s="310" t="s">
        <v>126</v>
      </c>
      <c r="D29" s="161">
        <f>'5.Carichi su travi solaio cop.'!$E$32</f>
        <v>38.594865000000006</v>
      </c>
      <c r="E29" s="161">
        <f>'5.Carichi su travi solaio cop.'!$G$32</f>
        <v>22.51605</v>
      </c>
    </row>
    <row r="30" spans="2:10">
      <c r="B30" s="57" t="s">
        <v>193</v>
      </c>
      <c r="C30" s="310" t="s">
        <v>126</v>
      </c>
      <c r="D30" s="161">
        <f>'5.Carichi su travi solaio cop.'!$M$32</f>
        <v>61.98241800000001</v>
      </c>
      <c r="E30" s="161">
        <f>'5.Carichi su travi solaio cop.'!$O$32</f>
        <v>35.485860000000002</v>
      </c>
    </row>
    <row r="31" spans="2:10">
      <c r="B31" s="57" t="s">
        <v>128</v>
      </c>
      <c r="C31" s="310" t="s">
        <v>127</v>
      </c>
      <c r="D31" s="161">
        <f>'5.Carichi su travi solaio cop.'!$E$62</f>
        <v>86.540355509576614</v>
      </c>
      <c r="E31" s="161">
        <f>'5.Carichi su travi solaio cop.'!$G$62</f>
        <v>52.46359654582816</v>
      </c>
    </row>
    <row r="32" spans="2:10">
      <c r="B32" s="57" t="s">
        <v>194</v>
      </c>
      <c r="C32" s="310" t="s">
        <v>126</v>
      </c>
      <c r="D32" s="161">
        <f>'5.Carichi su travi solaio cop.'!$E$42</f>
        <v>38.873288250000009</v>
      </c>
      <c r="E32" s="161">
        <f>'5.Carichi su travi solaio cop.'!$G$42</f>
        <v>22.670452500000003</v>
      </c>
    </row>
    <row r="33" spans="2:5">
      <c r="B33" s="57" t="s">
        <v>195</v>
      </c>
      <c r="C33" s="310" t="s">
        <v>127</v>
      </c>
      <c r="D33" s="161">
        <f>'5.Carichi su travi solaio cop.'!$M$42</f>
        <v>32.897572525133576</v>
      </c>
      <c r="E33" s="161">
        <f>'5.Carichi su travi solaio cop.'!$O$42</f>
        <v>18.737995360703305</v>
      </c>
    </row>
    <row r="34" spans="2:5">
      <c r="B34" s="57" t="s">
        <v>203</v>
      </c>
      <c r="C34" s="310" t="s">
        <v>126</v>
      </c>
      <c r="D34" s="161">
        <f>'5.Carichi su travi solaio cop.'!$M$52</f>
        <v>35.379084500000005</v>
      </c>
      <c r="E34" s="161">
        <f>'5.Carichi su travi solaio cop.'!$O$52</f>
        <v>22.416065</v>
      </c>
    </row>
    <row r="35" spans="2:5">
      <c r="B35" s="57" t="s">
        <v>196</v>
      </c>
      <c r="C35" s="310" t="s">
        <v>126</v>
      </c>
      <c r="D35" s="161">
        <f>'5.Carichi su travi solaio cop.'!$E$52</f>
        <v>51.668267000000007</v>
      </c>
      <c r="E35" s="161">
        <f>'5.Carichi su travi solaio cop.'!$G$52</f>
        <v>31.701589999999999</v>
      </c>
    </row>
    <row r="36" spans="2:5" ht="30">
      <c r="B36" s="163" t="s">
        <v>197</v>
      </c>
      <c r="C36" s="310" t="s">
        <v>127</v>
      </c>
      <c r="D36" s="161">
        <f>'5.Carichi su travi solaio cop.'!$D$75</f>
        <v>10.257575000000001</v>
      </c>
      <c r="E36" s="161">
        <f>'5.Carichi su travi solaio cop.'!$F$75</f>
        <v>6.1827500000000004</v>
      </c>
    </row>
    <row r="37" spans="2:5" ht="30">
      <c r="B37" s="315" t="s">
        <v>198</v>
      </c>
      <c r="C37" s="310" t="s">
        <v>126</v>
      </c>
      <c r="D37" s="161">
        <f>'5.Carichi su travi solaio cop.'!$E$87</f>
        <v>34.617390000000007</v>
      </c>
      <c r="E37" s="161">
        <f>'5.Carichi su travi solaio cop.'!$G$87</f>
        <v>22.534050000000004</v>
      </c>
    </row>
  </sheetData>
  <mergeCells count="12">
    <mergeCell ref="B1:E2"/>
    <mergeCell ref="B20:E21"/>
    <mergeCell ref="B22:B23"/>
    <mergeCell ref="C22:C23"/>
    <mergeCell ref="D22:E22"/>
    <mergeCell ref="C3:C4"/>
    <mergeCell ref="B3:B4"/>
    <mergeCell ref="G3:G4"/>
    <mergeCell ref="I3:I4"/>
    <mergeCell ref="J3:J4"/>
    <mergeCell ref="D3:E3"/>
    <mergeCell ref="F3:F4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426"/>
  <sheetViews>
    <sheetView workbookViewId="0">
      <selection activeCell="S428" sqref="S428"/>
    </sheetView>
  </sheetViews>
  <sheetFormatPr defaultRowHeight="15"/>
  <cols>
    <col min="1" max="1" width="10.28515625" bestFit="1" customWidth="1"/>
    <col min="2" max="2" width="1.42578125" customWidth="1"/>
    <col min="4" max="4" width="1" customWidth="1"/>
    <col min="6" max="6" width="1" customWidth="1"/>
    <col min="8" max="8" width="0.85546875" customWidth="1"/>
    <col min="10" max="10" width="1.28515625" customWidth="1"/>
    <col min="12" max="12" width="1.42578125" customWidth="1"/>
    <col min="14" max="14" width="1.140625" customWidth="1"/>
  </cols>
  <sheetData>
    <row r="1" spans="1:3">
      <c r="A1" t="s">
        <v>403</v>
      </c>
    </row>
    <row r="3" spans="1:3">
      <c r="A3" s="293" t="s">
        <v>404</v>
      </c>
    </row>
    <row r="5" spans="1:3">
      <c r="A5" t="s">
        <v>405</v>
      </c>
    </row>
    <row r="7" spans="1:3">
      <c r="A7" t="s">
        <v>412</v>
      </c>
    </row>
    <row r="9" spans="1:3">
      <c r="A9" s="81">
        <f>-'6.Riep. car. travi e mom. flet.'!$D$24</f>
        <v>-53.179707500000006</v>
      </c>
      <c r="C9" t="s">
        <v>406</v>
      </c>
    </row>
    <row r="10" spans="1:3">
      <c r="A10" s="81">
        <f>-'6.Riep. car. travi e mom. flet.'!$D$5</f>
        <v>-59.239707500000002</v>
      </c>
      <c r="C10" t="s">
        <v>407</v>
      </c>
    </row>
    <row r="11" spans="1:3">
      <c r="A11" s="81">
        <f>-'6.Riep. car. travi e mom. flet.'!$D$5</f>
        <v>-59.239707500000002</v>
      </c>
      <c r="C11" t="s">
        <v>408</v>
      </c>
    </row>
    <row r="12" spans="1:3">
      <c r="A12" s="81">
        <f>-'6.Riep. car. travi e mom. flet.'!$D$5</f>
        <v>-59.239707500000002</v>
      </c>
      <c r="C12" t="s">
        <v>409</v>
      </c>
    </row>
    <row r="13" spans="1:3">
      <c r="A13" s="81">
        <f>-'6.Riep. car. travi e mom. flet.'!$D$5</f>
        <v>-59.239707500000002</v>
      </c>
      <c r="C13" t="s">
        <v>410</v>
      </c>
    </row>
    <row r="14" spans="1:3">
      <c r="A14" s="81">
        <f>-'6.Riep. car. travi e mom. flet.'!$D$5</f>
        <v>-59.239707500000002</v>
      </c>
      <c r="C14" t="s">
        <v>411</v>
      </c>
    </row>
    <row r="16" spans="1:3">
      <c r="A16" t="s">
        <v>413</v>
      </c>
    </row>
    <row r="18" spans="1:7">
      <c r="A18" t="s">
        <v>412</v>
      </c>
    </row>
    <row r="20" spans="1:7">
      <c r="A20" s="81">
        <f>-'6.Riep. car. travi e mom. flet.'!$D$24</f>
        <v>-53.179707500000006</v>
      </c>
      <c r="C20" t="s">
        <v>406</v>
      </c>
    </row>
    <row r="21" spans="1:7">
      <c r="A21" s="81">
        <f>-'6.Riep. car. travi e mom. flet.'!$D$5</f>
        <v>-59.239707500000002</v>
      </c>
      <c r="C21" t="s">
        <v>407</v>
      </c>
    </row>
    <row r="22" spans="1:7">
      <c r="A22" s="81">
        <f>-'6.Riep. car. travi e mom. flet.'!$D$5</f>
        <v>-59.239707500000002</v>
      </c>
      <c r="C22" t="s">
        <v>408</v>
      </c>
    </row>
    <row r="23" spans="1:7">
      <c r="A23" s="81">
        <f>-'6.Riep. car. travi e mom. flet.'!$D$5</f>
        <v>-59.239707500000002</v>
      </c>
      <c r="C23" t="s">
        <v>409</v>
      </c>
    </row>
    <row r="24" spans="1:7">
      <c r="A24" s="81">
        <f>-'6.Riep. car. travi e mom. flet.'!$D$5</f>
        <v>-59.239707500000002</v>
      </c>
      <c r="C24" t="s">
        <v>410</v>
      </c>
    </row>
    <row r="25" spans="1:7">
      <c r="A25" s="81">
        <f>-'6.Riep. car. travi e mom. flet.'!$D$5</f>
        <v>-59.239707500000002</v>
      </c>
      <c r="C25" t="s">
        <v>411</v>
      </c>
    </row>
    <row r="27" spans="1:7">
      <c r="A27" t="s">
        <v>414</v>
      </c>
    </row>
    <row r="29" spans="1:7">
      <c r="A29" t="s">
        <v>412</v>
      </c>
    </row>
    <row r="31" spans="1:7">
      <c r="A31" s="81">
        <f>-'6.Riep. car. travi e mom. flet.'!$D$25</f>
        <v>-38.004218000000009</v>
      </c>
      <c r="B31" t="s">
        <v>415</v>
      </c>
      <c r="C31" s="81">
        <f>-'6.Riep. car. travi e mom. flet.'!$D$7</f>
        <v>-53.028774257980515</v>
      </c>
      <c r="D31" t="s">
        <v>415</v>
      </c>
      <c r="E31" s="81">
        <f>-'6.Riep. car. travi e mom. flet.'!$D$25</f>
        <v>-38.004218000000009</v>
      </c>
      <c r="G31" t="s">
        <v>406</v>
      </c>
    </row>
    <row r="32" spans="1:7">
      <c r="A32" s="81">
        <f>-'6.Riep. car. travi e mom. flet.'!$D$6</f>
        <v>-45.615578000000006</v>
      </c>
      <c r="B32" s="81" t="s">
        <v>415</v>
      </c>
      <c r="C32" s="81">
        <f>-'6.Riep. car. travi e mom. flet.'!$D$7</f>
        <v>-53.028774257980515</v>
      </c>
      <c r="D32" s="81" t="s">
        <v>415</v>
      </c>
      <c r="E32" s="81">
        <f>-'6.Riep. car. travi e mom. flet.'!$D$6</f>
        <v>-45.615578000000006</v>
      </c>
      <c r="G32" t="s">
        <v>407</v>
      </c>
    </row>
    <row r="33" spans="1:7">
      <c r="A33" s="81">
        <f>-'6.Riep. car. travi e mom. flet.'!$D$6</f>
        <v>-45.615578000000006</v>
      </c>
      <c r="B33" s="81" t="s">
        <v>415</v>
      </c>
      <c r="C33" s="81">
        <f>-'6.Riep. car. travi e mom. flet.'!$D$7</f>
        <v>-53.028774257980515</v>
      </c>
      <c r="D33" s="81" t="s">
        <v>415</v>
      </c>
      <c r="E33" s="81">
        <f>-'6.Riep. car. travi e mom. flet.'!$D$6</f>
        <v>-45.615578000000006</v>
      </c>
      <c r="G33" t="s">
        <v>408</v>
      </c>
    </row>
    <row r="34" spans="1:7">
      <c r="A34" s="81">
        <f>-'6.Riep. car. travi e mom. flet.'!$D$6</f>
        <v>-45.615578000000006</v>
      </c>
      <c r="B34" s="81" t="s">
        <v>415</v>
      </c>
      <c r="C34" s="81">
        <f>-'6.Riep. car. travi e mom. flet.'!$D$7</f>
        <v>-53.028774257980515</v>
      </c>
      <c r="D34" s="81" t="s">
        <v>415</v>
      </c>
      <c r="E34" s="81">
        <f>-'6.Riep. car. travi e mom. flet.'!$D$6</f>
        <v>-45.615578000000006</v>
      </c>
      <c r="G34" t="s">
        <v>409</v>
      </c>
    </row>
    <row r="35" spans="1:7">
      <c r="A35" s="81">
        <f>-'6.Riep. car. travi e mom. flet.'!$D$6</f>
        <v>-45.615578000000006</v>
      </c>
      <c r="B35" s="81" t="s">
        <v>415</v>
      </c>
      <c r="C35" s="81">
        <f>-'6.Riep. car. travi e mom. flet.'!$D$7</f>
        <v>-53.028774257980515</v>
      </c>
      <c r="D35" s="81" t="s">
        <v>415</v>
      </c>
      <c r="E35" s="81">
        <f>-'6.Riep. car. travi e mom. flet.'!$D$6</f>
        <v>-45.615578000000006</v>
      </c>
      <c r="G35" t="s">
        <v>410</v>
      </c>
    </row>
    <row r="36" spans="1:7">
      <c r="A36" s="81">
        <f>-'6.Riep. car. travi e mom. flet.'!$D$6</f>
        <v>-45.615578000000006</v>
      </c>
      <c r="B36" s="81" t="s">
        <v>415</v>
      </c>
      <c r="C36" s="81">
        <f>-'6.Riep. car. travi e mom. flet.'!$D$7</f>
        <v>-53.028774257980515</v>
      </c>
      <c r="D36" s="81" t="s">
        <v>415</v>
      </c>
      <c r="E36" s="81">
        <f>-'6.Riep. car. travi e mom. flet.'!$D$6</f>
        <v>-45.615578000000006</v>
      </c>
      <c r="G36" t="s">
        <v>411</v>
      </c>
    </row>
    <row r="38" spans="1:7">
      <c r="A38" t="s">
        <v>416</v>
      </c>
    </row>
    <row r="40" spans="1:7">
      <c r="A40" t="s">
        <v>412</v>
      </c>
    </row>
    <row r="42" spans="1:7">
      <c r="A42" s="81">
        <f>-'6.Riep. car. travi e mom. flet.'!$D$27</f>
        <v>-42.095043000000004</v>
      </c>
      <c r="C42" t="s">
        <v>406</v>
      </c>
    </row>
    <row r="43" spans="1:7">
      <c r="A43" s="81">
        <f>-'6.Riep. car. travi e mom. flet.'!$D$8</f>
        <v>-53.342403000000004</v>
      </c>
      <c r="C43" t="s">
        <v>407</v>
      </c>
    </row>
    <row r="44" spans="1:7">
      <c r="A44" s="81">
        <f>-'6.Riep. car. travi e mom. flet.'!$D$8</f>
        <v>-53.342403000000004</v>
      </c>
      <c r="C44" t="s">
        <v>408</v>
      </c>
    </row>
    <row r="45" spans="1:7">
      <c r="A45" s="81">
        <f>-'6.Riep. car. travi e mom. flet.'!$D$8</f>
        <v>-53.342403000000004</v>
      </c>
      <c r="C45" t="s">
        <v>409</v>
      </c>
    </row>
    <row r="46" spans="1:7">
      <c r="A46" s="81">
        <f>-'6.Riep. car. travi e mom. flet.'!$D$8</f>
        <v>-53.342403000000004</v>
      </c>
      <c r="C46" t="s">
        <v>410</v>
      </c>
    </row>
    <row r="47" spans="1:7">
      <c r="A47" s="81">
        <f>-'6.Riep. car. travi e mom. flet.'!$D$8</f>
        <v>-53.342403000000004</v>
      </c>
      <c r="C47" t="s">
        <v>411</v>
      </c>
    </row>
    <row r="49" spans="1:11">
      <c r="A49" t="s">
        <v>417</v>
      </c>
    </row>
    <row r="51" spans="1:11">
      <c r="A51" t="s">
        <v>412</v>
      </c>
    </row>
    <row r="53" spans="1:11">
      <c r="A53" s="81">
        <f>-'6.Riep. car. travi e mom. flet.'!$D$27</f>
        <v>-42.095043000000004</v>
      </c>
      <c r="C53" t="s">
        <v>406</v>
      </c>
    </row>
    <row r="54" spans="1:11">
      <c r="A54" s="81">
        <f>-'6.Riep. car. travi e mom. flet.'!$D$8</f>
        <v>-53.342403000000004</v>
      </c>
      <c r="C54" t="s">
        <v>407</v>
      </c>
    </row>
    <row r="55" spans="1:11">
      <c r="A55" s="81">
        <f>-'6.Riep. car. travi e mom. flet.'!$D$8</f>
        <v>-53.342403000000004</v>
      </c>
      <c r="C55" t="s">
        <v>408</v>
      </c>
    </row>
    <row r="56" spans="1:11">
      <c r="A56" s="81">
        <f>-'6.Riep. car. travi e mom. flet.'!$D$8</f>
        <v>-53.342403000000004</v>
      </c>
      <c r="C56" t="s">
        <v>409</v>
      </c>
    </row>
    <row r="57" spans="1:11">
      <c r="A57" s="81">
        <f>-'6.Riep. car. travi e mom. flet.'!$D$8</f>
        <v>-53.342403000000004</v>
      </c>
      <c r="C57" t="s">
        <v>410</v>
      </c>
    </row>
    <row r="58" spans="1:11">
      <c r="A58" s="81">
        <f>-'6.Riep. car. travi e mom. flet.'!$D$8</f>
        <v>-53.342403000000004</v>
      </c>
      <c r="C58" t="s">
        <v>411</v>
      </c>
    </row>
    <row r="60" spans="1:11">
      <c r="A60" t="s">
        <v>418</v>
      </c>
    </row>
    <row r="62" spans="1:11">
      <c r="A62" t="s">
        <v>412</v>
      </c>
    </row>
    <row r="64" spans="1:11">
      <c r="A64" s="81">
        <f>-'6.Riep. car. travi e mom. flet.'!$D$29</f>
        <v>-38.594865000000006</v>
      </c>
      <c r="B64" t="s">
        <v>415</v>
      </c>
      <c r="C64" s="81">
        <f>-'6.Riep. car. travi e mom. flet.'!$D$30</f>
        <v>-61.98241800000001</v>
      </c>
      <c r="D64" t="s">
        <v>415</v>
      </c>
      <c r="E64" s="81">
        <f>-'6.Riep. car. travi e mom. flet.'!$D$31</f>
        <v>-86.540355509576614</v>
      </c>
      <c r="F64" t="s">
        <v>415</v>
      </c>
      <c r="G64" s="81">
        <f>-'6.Riep. car. travi e mom. flet.'!$D$30</f>
        <v>-61.98241800000001</v>
      </c>
      <c r="H64" t="s">
        <v>415</v>
      </c>
      <c r="I64" s="81">
        <f>-'6.Riep. car. travi e mom. flet.'!$D$29</f>
        <v>-38.594865000000006</v>
      </c>
      <c r="K64" t="s">
        <v>406</v>
      </c>
    </row>
    <row r="65" spans="1:16">
      <c r="A65" s="81">
        <f>-'6.Riep. car. travi e mom. flet.'!$D$10</f>
        <v>-48.775665000000004</v>
      </c>
      <c r="B65" s="81" t="s">
        <v>415</v>
      </c>
      <c r="C65" s="81">
        <f>-'6.Riep. car. travi e mom. flet.'!$D$11</f>
        <v>-79.289777999999998</v>
      </c>
      <c r="D65" s="81" t="s">
        <v>415</v>
      </c>
      <c r="E65" s="81">
        <f>-'6.Riep. car. travi e mom. flet.'!$D$12</f>
        <v>-94.714083509576611</v>
      </c>
      <c r="F65" t="s">
        <v>415</v>
      </c>
      <c r="G65" s="81">
        <f>-'6.Riep. car. travi e mom. flet.'!$D$11</f>
        <v>-79.289777999999998</v>
      </c>
      <c r="H65" t="s">
        <v>415</v>
      </c>
      <c r="I65" s="81">
        <f>-'6.Riep. car. travi e mom. flet.'!$D$10</f>
        <v>-48.775665000000004</v>
      </c>
      <c r="J65" s="81"/>
      <c r="K65" t="s">
        <v>407</v>
      </c>
    </row>
    <row r="66" spans="1:16">
      <c r="A66" s="81">
        <f>-'6.Riep. car. travi e mom. flet.'!$D$10</f>
        <v>-48.775665000000004</v>
      </c>
      <c r="B66" s="81" t="s">
        <v>415</v>
      </c>
      <c r="C66" s="81">
        <f>-'6.Riep. car. travi e mom. flet.'!$D$11</f>
        <v>-79.289777999999998</v>
      </c>
      <c r="D66" s="81" t="s">
        <v>415</v>
      </c>
      <c r="E66" s="81">
        <f>-'6.Riep. car. travi e mom. flet.'!$D$12</f>
        <v>-94.714083509576611</v>
      </c>
      <c r="F66" t="s">
        <v>415</v>
      </c>
      <c r="G66" s="81">
        <f>-'6.Riep. car. travi e mom. flet.'!$D$11</f>
        <v>-79.289777999999998</v>
      </c>
      <c r="H66" t="s">
        <v>415</v>
      </c>
      <c r="I66" s="81">
        <f>-'6.Riep. car. travi e mom. flet.'!$D$10</f>
        <v>-48.775665000000004</v>
      </c>
      <c r="J66" s="81"/>
      <c r="K66" t="s">
        <v>408</v>
      </c>
    </row>
    <row r="67" spans="1:16">
      <c r="A67" s="81">
        <f>-'6.Riep. car. travi e mom. flet.'!$D$10</f>
        <v>-48.775665000000004</v>
      </c>
      <c r="B67" s="81" t="s">
        <v>415</v>
      </c>
      <c r="C67" s="81">
        <f>-'6.Riep. car. travi e mom. flet.'!$D$11</f>
        <v>-79.289777999999998</v>
      </c>
      <c r="D67" s="81" t="s">
        <v>415</v>
      </c>
      <c r="E67" s="81">
        <f>-'6.Riep. car. travi e mom. flet.'!$D$12</f>
        <v>-94.714083509576611</v>
      </c>
      <c r="F67" t="s">
        <v>415</v>
      </c>
      <c r="G67" s="81">
        <f>-'6.Riep. car. travi e mom. flet.'!$D$11</f>
        <v>-79.289777999999998</v>
      </c>
      <c r="H67" t="s">
        <v>415</v>
      </c>
      <c r="I67" s="81">
        <f>-'6.Riep. car. travi e mom. flet.'!$D$10</f>
        <v>-48.775665000000004</v>
      </c>
      <c r="J67" s="81"/>
      <c r="K67" t="s">
        <v>409</v>
      </c>
    </row>
    <row r="68" spans="1:16">
      <c r="A68" s="81">
        <f>-'6.Riep. car. travi e mom. flet.'!$D$10</f>
        <v>-48.775665000000004</v>
      </c>
      <c r="B68" s="81" t="s">
        <v>415</v>
      </c>
      <c r="C68" s="81">
        <f>-'6.Riep. car. travi e mom. flet.'!$D$11</f>
        <v>-79.289777999999998</v>
      </c>
      <c r="D68" s="81" t="s">
        <v>415</v>
      </c>
      <c r="E68" s="81">
        <f>-'6.Riep. car. travi e mom. flet.'!$D$12</f>
        <v>-94.714083509576611</v>
      </c>
      <c r="F68" t="s">
        <v>415</v>
      </c>
      <c r="G68" s="81">
        <f>-'6.Riep. car. travi e mom. flet.'!$D$11</f>
        <v>-79.289777999999998</v>
      </c>
      <c r="H68" t="s">
        <v>415</v>
      </c>
      <c r="I68" s="81">
        <f>-'6.Riep. car. travi e mom. flet.'!$D$10</f>
        <v>-48.775665000000004</v>
      </c>
      <c r="J68" s="81"/>
      <c r="K68" t="s">
        <v>410</v>
      </c>
    </row>
    <row r="69" spans="1:16">
      <c r="A69" s="81">
        <f>-'6.Riep. car. travi e mom. flet.'!$D$10</f>
        <v>-48.775665000000004</v>
      </c>
      <c r="B69" s="81" t="s">
        <v>415</v>
      </c>
      <c r="C69" s="81">
        <f>-'6.Riep. car. travi e mom. flet.'!$D$11</f>
        <v>-79.289777999999998</v>
      </c>
      <c r="D69" s="81" t="s">
        <v>415</v>
      </c>
      <c r="E69" s="81">
        <f>-'6.Riep. car. travi e mom. flet.'!$D$12</f>
        <v>-94.714083509576611</v>
      </c>
      <c r="F69" t="s">
        <v>415</v>
      </c>
      <c r="G69" s="81">
        <f>-'6.Riep. car. travi e mom. flet.'!$D$11</f>
        <v>-79.289777999999998</v>
      </c>
      <c r="H69" t="s">
        <v>415</v>
      </c>
      <c r="I69" s="81">
        <f>-'6.Riep. car. travi e mom. flet.'!$D$10</f>
        <v>-48.775665000000004</v>
      </c>
      <c r="J69" s="81"/>
      <c r="K69" t="s">
        <v>411</v>
      </c>
    </row>
    <row r="71" spans="1:16">
      <c r="A71" t="s">
        <v>462</v>
      </c>
    </row>
    <row r="73" spans="1:16">
      <c r="A73" t="s">
        <v>412</v>
      </c>
    </row>
    <row r="75" spans="1:16">
      <c r="A75" s="81">
        <f>-'6.Riep. car. travi e mom. flet.'!$D$32</f>
        <v>-38.873288250000009</v>
      </c>
      <c r="B75" t="s">
        <v>415</v>
      </c>
      <c r="C75" s="81">
        <f>-'6.Riep. car. travi e mom. flet.'!$D$33</f>
        <v>-32.897572525133576</v>
      </c>
      <c r="D75" t="s">
        <v>415</v>
      </c>
      <c r="E75" s="81">
        <f>-'6.Riep. car. travi e mom. flet.'!$D$34</f>
        <v>-35.379084500000005</v>
      </c>
      <c r="F75" t="s">
        <v>415</v>
      </c>
      <c r="G75" s="81">
        <f>-'6.Riep. car. travi e mom. flet.'!$D$34</f>
        <v>-35.379084500000005</v>
      </c>
      <c r="H75" t="s">
        <v>415</v>
      </c>
      <c r="I75" s="81">
        <f>-'6.Riep. car. travi e mom. flet.'!$D$34</f>
        <v>-35.379084500000005</v>
      </c>
      <c r="J75" t="s">
        <v>415</v>
      </c>
      <c r="K75" s="81">
        <f>-'6.Riep. car. travi e mom. flet.'!$D$33</f>
        <v>-32.897572525133576</v>
      </c>
      <c r="L75" t="s">
        <v>415</v>
      </c>
      <c r="M75" s="81">
        <f>-'6.Riep. car. travi e mom. flet.'!$D$32</f>
        <v>-38.873288250000009</v>
      </c>
      <c r="P75" t="s">
        <v>406</v>
      </c>
    </row>
    <row r="76" spans="1:16">
      <c r="A76" s="81">
        <f>-'6.Riep. car. travi e mom. flet.'!$D$13</f>
        <v>-49.138928250000006</v>
      </c>
      <c r="B76" s="81" t="s">
        <v>415</v>
      </c>
      <c r="C76" s="81">
        <f>-'6.Riep. car. travi e mom. flet.'!$D$14</f>
        <v>-42.220340462194628</v>
      </c>
      <c r="D76" s="81" t="s">
        <v>415</v>
      </c>
      <c r="E76" s="81">
        <f>-'6.Riep. car. travi e mom. flet.'!$D$15</f>
        <v>-42.190524500000002</v>
      </c>
      <c r="F76" t="s">
        <v>415</v>
      </c>
      <c r="G76" s="81">
        <f>-'6.Riep. car. travi e mom. flet.'!$D$15</f>
        <v>-42.190524500000002</v>
      </c>
      <c r="H76" t="s">
        <v>415</v>
      </c>
      <c r="I76" s="81">
        <f>-'6.Riep. car. travi e mom. flet.'!$D$15</f>
        <v>-42.190524500000002</v>
      </c>
      <c r="J76" s="81" t="s">
        <v>415</v>
      </c>
      <c r="K76" s="81">
        <f>-'6.Riep. car. travi e mom. flet.'!$D$14</f>
        <v>-42.220340462194628</v>
      </c>
      <c r="L76" s="81" t="s">
        <v>415</v>
      </c>
      <c r="M76" s="81">
        <f>-'6.Riep. car. travi e mom. flet.'!$D$13</f>
        <v>-49.138928250000006</v>
      </c>
      <c r="N76" s="81"/>
      <c r="P76" t="s">
        <v>407</v>
      </c>
    </row>
    <row r="77" spans="1:16">
      <c r="A77" s="81">
        <f>-'6.Riep. car. travi e mom. flet.'!$D$13</f>
        <v>-49.138928250000006</v>
      </c>
      <c r="B77" s="81" t="s">
        <v>415</v>
      </c>
      <c r="C77" s="81">
        <f>-'6.Riep. car. travi e mom. flet.'!$D$14</f>
        <v>-42.220340462194628</v>
      </c>
      <c r="D77" s="81" t="s">
        <v>415</v>
      </c>
      <c r="E77" s="81">
        <f>-'6.Riep. car. travi e mom. flet.'!$D$15</f>
        <v>-42.190524500000002</v>
      </c>
      <c r="F77" t="s">
        <v>415</v>
      </c>
      <c r="G77" s="81">
        <f>-'6.Riep. car. travi e mom. flet.'!$D$15</f>
        <v>-42.190524500000002</v>
      </c>
      <c r="H77" t="s">
        <v>415</v>
      </c>
      <c r="I77" s="81">
        <f>-'6.Riep. car. travi e mom. flet.'!$D$15</f>
        <v>-42.190524500000002</v>
      </c>
      <c r="J77" s="81" t="s">
        <v>415</v>
      </c>
      <c r="K77" s="81">
        <f>-'6.Riep. car. travi e mom. flet.'!$D$14</f>
        <v>-42.220340462194628</v>
      </c>
      <c r="L77" s="81" t="s">
        <v>415</v>
      </c>
      <c r="M77" s="81">
        <f>-'6.Riep. car. travi e mom. flet.'!$D$13</f>
        <v>-49.138928250000006</v>
      </c>
      <c r="N77" s="81"/>
      <c r="P77" t="s">
        <v>408</v>
      </c>
    </row>
    <row r="78" spans="1:16">
      <c r="A78" s="81">
        <f>-'6.Riep. car. travi e mom. flet.'!$D$13</f>
        <v>-49.138928250000006</v>
      </c>
      <c r="B78" s="81" t="s">
        <v>415</v>
      </c>
      <c r="C78" s="81">
        <f>-'6.Riep. car. travi e mom. flet.'!$D$14</f>
        <v>-42.220340462194628</v>
      </c>
      <c r="D78" s="81" t="s">
        <v>415</v>
      </c>
      <c r="E78" s="81">
        <f>-'6.Riep. car. travi e mom. flet.'!$D$15</f>
        <v>-42.190524500000002</v>
      </c>
      <c r="F78" t="s">
        <v>415</v>
      </c>
      <c r="G78" s="81">
        <f>-'6.Riep. car. travi e mom. flet.'!$D$15</f>
        <v>-42.190524500000002</v>
      </c>
      <c r="H78" t="s">
        <v>415</v>
      </c>
      <c r="I78" s="81">
        <f>-'6.Riep. car. travi e mom. flet.'!$D$15</f>
        <v>-42.190524500000002</v>
      </c>
      <c r="J78" s="81" t="s">
        <v>415</v>
      </c>
      <c r="K78" s="81">
        <f>-'6.Riep. car. travi e mom. flet.'!$D$14</f>
        <v>-42.220340462194628</v>
      </c>
      <c r="L78" s="81" t="s">
        <v>415</v>
      </c>
      <c r="M78" s="81">
        <f>-'6.Riep. car. travi e mom. flet.'!$D$13</f>
        <v>-49.138928250000006</v>
      </c>
      <c r="N78" s="81"/>
      <c r="P78" t="s">
        <v>409</v>
      </c>
    </row>
    <row r="79" spans="1:16">
      <c r="A79" s="81">
        <f>-'6.Riep. car. travi e mom. flet.'!$D$13</f>
        <v>-49.138928250000006</v>
      </c>
      <c r="B79" s="81" t="s">
        <v>415</v>
      </c>
      <c r="C79" s="81">
        <f>-'6.Riep. car. travi e mom. flet.'!$D$14</f>
        <v>-42.220340462194628</v>
      </c>
      <c r="D79" s="81" t="s">
        <v>415</v>
      </c>
      <c r="E79" s="81">
        <f>-'6.Riep. car. travi e mom. flet.'!$D$15</f>
        <v>-42.190524500000002</v>
      </c>
      <c r="F79" t="s">
        <v>415</v>
      </c>
      <c r="G79" s="81">
        <f>-'6.Riep. car. travi e mom. flet.'!$D$15</f>
        <v>-42.190524500000002</v>
      </c>
      <c r="H79" t="s">
        <v>415</v>
      </c>
      <c r="I79" s="81">
        <f>-'6.Riep. car. travi e mom. flet.'!$D$15</f>
        <v>-42.190524500000002</v>
      </c>
      <c r="J79" s="81" t="s">
        <v>415</v>
      </c>
      <c r="K79" s="81">
        <f>-'6.Riep. car. travi e mom. flet.'!$D$14</f>
        <v>-42.220340462194628</v>
      </c>
      <c r="L79" s="81" t="s">
        <v>415</v>
      </c>
      <c r="M79" s="81">
        <f>-'6.Riep. car. travi e mom. flet.'!$D$13</f>
        <v>-49.138928250000006</v>
      </c>
      <c r="N79" s="81"/>
      <c r="P79" t="s">
        <v>410</v>
      </c>
    </row>
    <row r="80" spans="1:16">
      <c r="A80" s="81">
        <f>-'6.Riep. car. travi e mom. flet.'!$D$13</f>
        <v>-49.138928250000006</v>
      </c>
      <c r="B80" s="81" t="s">
        <v>415</v>
      </c>
      <c r="C80" s="81">
        <f>-'6.Riep. car. travi e mom. flet.'!$D$14</f>
        <v>-42.220340462194628</v>
      </c>
      <c r="D80" s="81" t="s">
        <v>415</v>
      </c>
      <c r="E80" s="81">
        <f>-'6.Riep. car. travi e mom. flet.'!$D$15</f>
        <v>-42.190524500000002</v>
      </c>
      <c r="F80" t="s">
        <v>415</v>
      </c>
      <c r="G80" s="81">
        <f>-'6.Riep. car. travi e mom. flet.'!$D$15</f>
        <v>-42.190524500000002</v>
      </c>
      <c r="H80" t="s">
        <v>415</v>
      </c>
      <c r="I80" s="81">
        <f>-'6.Riep. car. travi e mom. flet.'!$D$15</f>
        <v>-42.190524500000002</v>
      </c>
      <c r="J80" s="81" t="s">
        <v>415</v>
      </c>
      <c r="K80" s="81">
        <f>-'6.Riep. car. travi e mom. flet.'!$D$14</f>
        <v>-42.220340462194628</v>
      </c>
      <c r="L80" s="81" t="s">
        <v>415</v>
      </c>
      <c r="M80" s="81">
        <f>-'6.Riep. car. travi e mom. flet.'!$D$13</f>
        <v>-49.138928250000006</v>
      </c>
      <c r="N80" s="81"/>
      <c r="P80" t="s">
        <v>411</v>
      </c>
    </row>
    <row r="82" spans="1:3">
      <c r="A82" t="s">
        <v>463</v>
      </c>
    </row>
    <row r="84" spans="1:3">
      <c r="A84" t="s">
        <v>412</v>
      </c>
    </row>
    <row r="86" spans="1:3">
      <c r="A86" s="81">
        <f>-'6.Riep. car. travi e mom. flet.'!$D$35</f>
        <v>-51.668267000000007</v>
      </c>
      <c r="C86" t="s">
        <v>406</v>
      </c>
    </row>
    <row r="87" spans="1:3">
      <c r="A87" s="81">
        <f>-'6.Riep. car. travi e mom. flet.'!$D$16</f>
        <v>-57.267707000000009</v>
      </c>
      <c r="C87" t="s">
        <v>407</v>
      </c>
    </row>
    <row r="88" spans="1:3">
      <c r="A88" s="81">
        <f>-'6.Riep. car. travi e mom. flet.'!$D$16</f>
        <v>-57.267707000000009</v>
      </c>
      <c r="C88" t="s">
        <v>408</v>
      </c>
    </row>
    <row r="89" spans="1:3">
      <c r="A89" s="81">
        <f>-'6.Riep. car. travi e mom. flet.'!$D$16</f>
        <v>-57.267707000000009</v>
      </c>
      <c r="C89" t="s">
        <v>409</v>
      </c>
    </row>
    <row r="90" spans="1:3">
      <c r="A90" s="81">
        <f>-'6.Riep. car. travi e mom. flet.'!$D$16</f>
        <v>-57.267707000000009</v>
      </c>
      <c r="C90" t="s">
        <v>410</v>
      </c>
    </row>
    <row r="91" spans="1:3">
      <c r="A91" s="81">
        <f>-'6.Riep. car. travi e mom. flet.'!$D$16</f>
        <v>-57.267707000000009</v>
      </c>
      <c r="C91" t="s">
        <v>411</v>
      </c>
    </row>
    <row r="93" spans="1:3">
      <c r="A93" t="s">
        <v>464</v>
      </c>
    </row>
    <row r="95" spans="1:3">
      <c r="A95" t="s">
        <v>412</v>
      </c>
    </row>
    <row r="97" spans="1:14">
      <c r="A97" s="81">
        <f>-'6.Riep. car. travi e mom. flet.'!$D$35</f>
        <v>-51.668267000000007</v>
      </c>
      <c r="C97" t="s">
        <v>406</v>
      </c>
    </row>
    <row r="98" spans="1:14">
      <c r="A98" s="81">
        <f>-'6.Riep. car. travi e mom. flet.'!$D$16</f>
        <v>-57.267707000000009</v>
      </c>
      <c r="C98" t="s">
        <v>407</v>
      </c>
    </row>
    <row r="99" spans="1:14">
      <c r="A99" s="81">
        <f>-'6.Riep. car. travi e mom. flet.'!$D$16</f>
        <v>-57.267707000000009</v>
      </c>
      <c r="C99" t="s">
        <v>408</v>
      </c>
    </row>
    <row r="100" spans="1:14">
      <c r="A100" s="81">
        <f>-'6.Riep. car. travi e mom. flet.'!$D$16</f>
        <v>-57.267707000000009</v>
      </c>
      <c r="C100" t="s">
        <v>409</v>
      </c>
    </row>
    <row r="101" spans="1:14">
      <c r="A101" s="81">
        <f>-'6.Riep. car. travi e mom. flet.'!$D$16</f>
        <v>-57.267707000000009</v>
      </c>
      <c r="C101" t="s">
        <v>410</v>
      </c>
    </row>
    <row r="102" spans="1:14">
      <c r="A102" s="81">
        <f>-'6.Riep. car. travi e mom. flet.'!$D$16</f>
        <v>-57.267707000000009</v>
      </c>
      <c r="C102" t="s">
        <v>411</v>
      </c>
    </row>
    <row r="104" spans="1:14">
      <c r="A104" t="s">
        <v>465</v>
      </c>
    </row>
    <row r="106" spans="1:14">
      <c r="A106" t="s">
        <v>412</v>
      </c>
    </row>
    <row r="108" spans="1:14">
      <c r="A108" s="81">
        <f>-'5.Carichi su travi solaio cop.'!$E$87</f>
        <v>-34.617390000000007</v>
      </c>
      <c r="B108" t="s">
        <v>415</v>
      </c>
      <c r="C108" s="81">
        <f>-'5.Carichi su travi solaio cop.'!$E$87</f>
        <v>-34.617390000000007</v>
      </c>
      <c r="D108" t="s">
        <v>415</v>
      </c>
      <c r="E108" s="81">
        <f>-'5.Carichi su travi solaio cop.'!$E$87</f>
        <v>-34.617390000000007</v>
      </c>
      <c r="F108" t="s">
        <v>415</v>
      </c>
      <c r="G108" s="81">
        <f>-'5.Carichi su travi solaio cop.'!$E$87</f>
        <v>-34.617390000000007</v>
      </c>
      <c r="I108" t="s">
        <v>406</v>
      </c>
      <c r="K108" s="81"/>
      <c r="M108" s="81"/>
    </row>
    <row r="109" spans="1:14">
      <c r="A109" s="81">
        <f>-'4.Carichi su travi solaio tipo'!$E$87</f>
        <v>-45.717390000000009</v>
      </c>
      <c r="B109" s="81" t="s">
        <v>415</v>
      </c>
      <c r="C109" s="81">
        <f>-'4.Carichi su travi solaio tipo'!$E$87</f>
        <v>-45.717390000000009</v>
      </c>
      <c r="D109" s="81" t="s">
        <v>415</v>
      </c>
      <c r="E109" s="81">
        <f>-'4.Carichi su travi solaio tipo'!$E$87</f>
        <v>-45.717390000000009</v>
      </c>
      <c r="F109" t="s">
        <v>415</v>
      </c>
      <c r="G109" s="81">
        <f>-'4.Carichi su travi solaio tipo'!$E$87</f>
        <v>-45.717390000000009</v>
      </c>
      <c r="I109" t="s">
        <v>407</v>
      </c>
      <c r="J109" s="81"/>
      <c r="K109" s="81"/>
      <c r="L109" s="81"/>
      <c r="M109" s="81"/>
      <c r="N109" s="81"/>
    </row>
    <row r="110" spans="1:14">
      <c r="A110" s="81">
        <f>-'4.Carichi su travi solaio tipo'!$E$87</f>
        <v>-45.717390000000009</v>
      </c>
      <c r="B110" s="81" t="s">
        <v>415</v>
      </c>
      <c r="C110" s="81">
        <f>-'4.Carichi su travi solaio tipo'!$E$87</f>
        <v>-45.717390000000009</v>
      </c>
      <c r="D110" s="81" t="s">
        <v>415</v>
      </c>
      <c r="E110" s="81">
        <f>-'4.Carichi su travi solaio tipo'!$E$87</f>
        <v>-45.717390000000009</v>
      </c>
      <c r="F110" t="s">
        <v>415</v>
      </c>
      <c r="G110" s="81">
        <f>-'4.Carichi su travi solaio tipo'!$E$87</f>
        <v>-45.717390000000009</v>
      </c>
      <c r="I110" t="s">
        <v>408</v>
      </c>
      <c r="J110" s="81"/>
      <c r="K110" s="81"/>
      <c r="L110" s="81"/>
      <c r="M110" s="81"/>
      <c r="N110" s="81"/>
    </row>
    <row r="111" spans="1:14">
      <c r="A111" s="81">
        <f>-'4.Carichi su travi solaio tipo'!$E$87</f>
        <v>-45.717390000000009</v>
      </c>
      <c r="B111" s="81" t="s">
        <v>415</v>
      </c>
      <c r="C111" s="81">
        <f>-'4.Carichi su travi solaio tipo'!$E$87</f>
        <v>-45.717390000000009</v>
      </c>
      <c r="D111" s="81" t="s">
        <v>415</v>
      </c>
      <c r="E111" s="81">
        <f>-'4.Carichi su travi solaio tipo'!$E$87</f>
        <v>-45.717390000000009</v>
      </c>
      <c r="F111" t="s">
        <v>415</v>
      </c>
      <c r="G111" s="81">
        <f>-'4.Carichi su travi solaio tipo'!$E$87</f>
        <v>-45.717390000000009</v>
      </c>
      <c r="I111" t="s">
        <v>409</v>
      </c>
      <c r="J111" s="81"/>
      <c r="K111" s="81"/>
      <c r="L111" s="81"/>
      <c r="M111" s="81"/>
      <c r="N111" s="81"/>
    </row>
    <row r="112" spans="1:14">
      <c r="A112" s="81">
        <f>-'4.Carichi su travi solaio tipo'!$E$87</f>
        <v>-45.717390000000009</v>
      </c>
      <c r="B112" s="81" t="s">
        <v>415</v>
      </c>
      <c r="C112" s="81">
        <f>-'4.Carichi su travi solaio tipo'!$E$87</f>
        <v>-45.717390000000009</v>
      </c>
      <c r="D112" s="81" t="s">
        <v>415</v>
      </c>
      <c r="E112" s="81">
        <f>-'4.Carichi su travi solaio tipo'!$E$87</f>
        <v>-45.717390000000009</v>
      </c>
      <c r="F112" t="s">
        <v>415</v>
      </c>
      <c r="G112" s="81">
        <f>-'4.Carichi su travi solaio tipo'!$E$87</f>
        <v>-45.717390000000009</v>
      </c>
      <c r="I112" t="s">
        <v>410</v>
      </c>
      <c r="J112" s="81"/>
      <c r="K112" s="81"/>
      <c r="L112" s="81"/>
      <c r="M112" s="81"/>
      <c r="N112" s="81"/>
    </row>
    <row r="113" spans="1:14">
      <c r="A113" s="81">
        <f>-'4.Carichi su travi solaio tipo'!$E$87</f>
        <v>-45.717390000000009</v>
      </c>
      <c r="B113" s="81" t="s">
        <v>415</v>
      </c>
      <c r="C113" s="81">
        <f>-'4.Carichi su travi solaio tipo'!$E$87</f>
        <v>-45.717390000000009</v>
      </c>
      <c r="D113" s="81" t="s">
        <v>415</v>
      </c>
      <c r="E113" s="81">
        <f>-'4.Carichi su travi solaio tipo'!$E$87</f>
        <v>-45.717390000000009</v>
      </c>
      <c r="F113" t="s">
        <v>415</v>
      </c>
      <c r="G113" s="81">
        <f>-'4.Carichi su travi solaio tipo'!$E$87</f>
        <v>-45.717390000000009</v>
      </c>
      <c r="I113" t="s">
        <v>411</v>
      </c>
      <c r="J113" s="81"/>
      <c r="K113" s="81"/>
      <c r="L113" s="81"/>
      <c r="M113" s="81"/>
      <c r="N113" s="81"/>
    </row>
    <row r="115" spans="1:14">
      <c r="A115" t="s">
        <v>466</v>
      </c>
    </row>
    <row r="117" spans="1:14">
      <c r="A117" t="s">
        <v>412</v>
      </c>
    </row>
    <row r="119" spans="1:14">
      <c r="A119" s="81">
        <f>-'5.Carichi su travi solaio cop.'!$D$75</f>
        <v>-10.257575000000001</v>
      </c>
      <c r="B119" t="s">
        <v>415</v>
      </c>
      <c r="C119" s="81">
        <f>-'5.Carichi su travi solaio cop.'!$D$75</f>
        <v>-10.257575000000001</v>
      </c>
      <c r="E119" t="s">
        <v>406</v>
      </c>
      <c r="G119" s="81"/>
    </row>
    <row r="120" spans="1:14">
      <c r="A120" s="81">
        <f>-'4.Carichi su travi solaio tipo'!$D$75</f>
        <v>-12.681575</v>
      </c>
      <c r="B120" s="81" t="s">
        <v>415</v>
      </c>
      <c r="C120" s="81">
        <f>-'4.Carichi su travi solaio tipo'!$D$75</f>
        <v>-12.681575</v>
      </c>
      <c r="E120" t="s">
        <v>407</v>
      </c>
      <c r="G120" s="81"/>
      <c r="J120" s="81"/>
    </row>
    <row r="121" spans="1:14">
      <c r="A121" s="81">
        <f>-'4.Carichi su travi solaio tipo'!$D$75</f>
        <v>-12.681575</v>
      </c>
      <c r="B121" s="81" t="s">
        <v>415</v>
      </c>
      <c r="C121" s="81">
        <f>-'4.Carichi su travi solaio tipo'!$D$75</f>
        <v>-12.681575</v>
      </c>
      <c r="E121" t="s">
        <v>408</v>
      </c>
      <c r="G121" s="81"/>
      <c r="J121" s="81"/>
    </row>
    <row r="122" spans="1:14">
      <c r="A122" s="81">
        <f>-'4.Carichi su travi solaio tipo'!$D$75</f>
        <v>-12.681575</v>
      </c>
      <c r="B122" s="81" t="s">
        <v>415</v>
      </c>
      <c r="C122" s="81">
        <f>-'4.Carichi su travi solaio tipo'!$D$75</f>
        <v>-12.681575</v>
      </c>
      <c r="E122" t="s">
        <v>409</v>
      </c>
      <c r="G122" s="81"/>
      <c r="J122" s="81"/>
    </row>
    <row r="123" spans="1:14">
      <c r="A123" s="81">
        <f>-'4.Carichi su travi solaio tipo'!$D$75</f>
        <v>-12.681575</v>
      </c>
      <c r="B123" s="81" t="s">
        <v>415</v>
      </c>
      <c r="C123" s="81">
        <f>-'4.Carichi su travi solaio tipo'!$D$75</f>
        <v>-12.681575</v>
      </c>
      <c r="E123" t="s">
        <v>410</v>
      </c>
      <c r="G123" s="81"/>
      <c r="J123" s="81"/>
    </row>
    <row r="124" spans="1:14">
      <c r="A124" s="81">
        <f>-'4.Carichi su travi solaio tipo'!$D$75</f>
        <v>-12.681575</v>
      </c>
      <c r="B124" s="81" t="s">
        <v>415</v>
      </c>
      <c r="C124" s="81">
        <f>-'4.Carichi su travi solaio tipo'!$D$75</f>
        <v>-12.681575</v>
      </c>
      <c r="E124" t="s">
        <v>411</v>
      </c>
      <c r="G124" s="81"/>
      <c r="J124" s="81"/>
    </row>
    <row r="126" spans="1:14">
      <c r="A126" t="s">
        <v>469</v>
      </c>
    </row>
    <row r="128" spans="1:14">
      <c r="A128" t="s">
        <v>412</v>
      </c>
    </row>
    <row r="130" spans="1:3">
      <c r="A130" s="81">
        <f>-'5.Carichi su travi solaio cop.'!$K$75</f>
        <v>-9.1615500000000001</v>
      </c>
      <c r="B130" t="s">
        <v>415</v>
      </c>
      <c r="C130" t="s">
        <v>406</v>
      </c>
    </row>
    <row r="131" spans="1:3">
      <c r="A131" s="81">
        <f>-'4.Carichi su travi solaio tipo'!$K$75</f>
        <v>-10.37355</v>
      </c>
      <c r="B131" s="81" t="s">
        <v>415</v>
      </c>
      <c r="C131" t="s">
        <v>407</v>
      </c>
    </row>
    <row r="132" spans="1:3">
      <c r="A132" s="81">
        <f>-'4.Carichi su travi solaio tipo'!$K$75</f>
        <v>-10.37355</v>
      </c>
      <c r="B132" s="81" t="s">
        <v>415</v>
      </c>
      <c r="C132" t="s">
        <v>408</v>
      </c>
    </row>
    <row r="133" spans="1:3">
      <c r="A133" s="81">
        <f>-'4.Carichi su travi solaio tipo'!$K$75</f>
        <v>-10.37355</v>
      </c>
      <c r="B133" s="81" t="s">
        <v>415</v>
      </c>
      <c r="C133" t="s">
        <v>409</v>
      </c>
    </row>
    <row r="134" spans="1:3">
      <c r="A134" s="81">
        <f>-'4.Carichi su travi solaio tipo'!$K$75</f>
        <v>-10.37355</v>
      </c>
      <c r="B134" s="81" t="s">
        <v>415</v>
      </c>
      <c r="C134" t="s">
        <v>410</v>
      </c>
    </row>
    <row r="135" spans="1:3">
      <c r="A135" s="81">
        <f>-'4.Carichi su travi solaio tipo'!$K$75</f>
        <v>-10.37355</v>
      </c>
      <c r="B135" s="81" t="s">
        <v>415</v>
      </c>
      <c r="C135" t="s">
        <v>411</v>
      </c>
    </row>
    <row r="137" spans="1:3">
      <c r="A137" t="s">
        <v>470</v>
      </c>
    </row>
    <row r="139" spans="1:3">
      <c r="A139" t="s">
        <v>412</v>
      </c>
    </row>
    <row r="141" spans="1:3">
      <c r="A141" s="81">
        <f>-'5.Carichi su travi solaio cop.'!$K$75</f>
        <v>-9.1615500000000001</v>
      </c>
      <c r="B141" t="s">
        <v>415</v>
      </c>
      <c r="C141" t="s">
        <v>406</v>
      </c>
    </row>
    <row r="142" spans="1:3">
      <c r="A142" s="81">
        <f>-'4.Carichi su travi solaio tipo'!$K$75</f>
        <v>-10.37355</v>
      </c>
      <c r="B142" s="81" t="s">
        <v>415</v>
      </c>
      <c r="C142" t="s">
        <v>407</v>
      </c>
    </row>
    <row r="143" spans="1:3">
      <c r="A143" s="81">
        <f>-'4.Carichi su travi solaio tipo'!$K$75</f>
        <v>-10.37355</v>
      </c>
      <c r="B143" s="81" t="s">
        <v>415</v>
      </c>
      <c r="C143" t="s">
        <v>408</v>
      </c>
    </row>
    <row r="144" spans="1:3">
      <c r="A144" s="81">
        <f>-'4.Carichi su travi solaio tipo'!$K$75</f>
        <v>-10.37355</v>
      </c>
      <c r="B144" s="81" t="s">
        <v>415</v>
      </c>
      <c r="C144" t="s">
        <v>409</v>
      </c>
    </row>
    <row r="145" spans="1:5">
      <c r="A145" s="81">
        <f>-'4.Carichi su travi solaio tipo'!$K$75</f>
        <v>-10.37355</v>
      </c>
      <c r="B145" s="81" t="s">
        <v>415</v>
      </c>
      <c r="C145" t="s">
        <v>410</v>
      </c>
    </row>
    <row r="146" spans="1:5">
      <c r="A146" s="81">
        <f>-'4.Carichi su travi solaio tipo'!$K$75</f>
        <v>-10.37355</v>
      </c>
      <c r="B146" s="81" t="s">
        <v>415</v>
      </c>
      <c r="C146" t="s">
        <v>411</v>
      </c>
    </row>
    <row r="148" spans="1:5">
      <c r="A148" t="s">
        <v>471</v>
      </c>
    </row>
    <row r="150" spans="1:5">
      <c r="A150" t="s">
        <v>412</v>
      </c>
    </row>
    <row r="152" spans="1:5">
      <c r="A152" s="81">
        <f>-'5.Carichi su travi solaio cop.'!$D$75</f>
        <v>-10.257575000000001</v>
      </c>
      <c r="B152" t="s">
        <v>415</v>
      </c>
      <c r="C152" s="97">
        <f>-'5.Carichi su travi solaio cop.'!$R$75</f>
        <v>-16.780132684391802</v>
      </c>
      <c r="E152" t="s">
        <v>406</v>
      </c>
    </row>
    <row r="153" spans="1:5">
      <c r="A153" s="81">
        <f>-'4.Carichi su travi solaio tipo'!$D$75</f>
        <v>-12.681575</v>
      </c>
      <c r="B153" s="81" t="s">
        <v>415</v>
      </c>
      <c r="C153" s="97">
        <f>-'4.Carichi su travi solaio tipo'!$R$75</f>
        <v>-17.992132684391802</v>
      </c>
      <c r="D153" s="81"/>
      <c r="E153" t="s">
        <v>407</v>
      </c>
    </row>
    <row r="154" spans="1:5">
      <c r="A154" s="81">
        <f>-'4.Carichi su travi solaio tipo'!$D$75</f>
        <v>-12.681575</v>
      </c>
      <c r="B154" s="81" t="s">
        <v>415</v>
      </c>
      <c r="C154" s="97">
        <f>-'4.Carichi su travi solaio tipo'!$R$75</f>
        <v>-17.992132684391802</v>
      </c>
      <c r="D154" s="81"/>
      <c r="E154" t="s">
        <v>408</v>
      </c>
    </row>
    <row r="155" spans="1:5">
      <c r="A155" s="81">
        <f>-'4.Carichi su travi solaio tipo'!$D$75</f>
        <v>-12.681575</v>
      </c>
      <c r="B155" s="81" t="s">
        <v>415</v>
      </c>
      <c r="C155" s="97">
        <f>-'4.Carichi su travi solaio tipo'!$R$75</f>
        <v>-17.992132684391802</v>
      </c>
      <c r="D155" s="81"/>
      <c r="E155" t="s">
        <v>409</v>
      </c>
    </row>
    <row r="156" spans="1:5">
      <c r="A156" s="81">
        <f>-'4.Carichi su travi solaio tipo'!$D$75</f>
        <v>-12.681575</v>
      </c>
      <c r="B156" s="81" t="s">
        <v>415</v>
      </c>
      <c r="C156" s="97">
        <f>-'4.Carichi su travi solaio tipo'!$R$75</f>
        <v>-17.992132684391802</v>
      </c>
      <c r="D156" s="81"/>
      <c r="E156" t="s">
        <v>410</v>
      </c>
    </row>
    <row r="157" spans="1:5">
      <c r="A157" s="81">
        <f>-'4.Carichi su travi solaio tipo'!$D$75</f>
        <v>-12.681575</v>
      </c>
      <c r="B157" s="81" t="s">
        <v>415</v>
      </c>
      <c r="C157" s="97">
        <f>-'4.Carichi su travi solaio tipo'!$R$75</f>
        <v>-17.992132684391802</v>
      </c>
      <c r="D157" s="81"/>
      <c r="E157" t="s">
        <v>411</v>
      </c>
    </row>
    <row r="159" spans="1:5">
      <c r="A159" t="s">
        <v>474</v>
      </c>
    </row>
    <row r="161" spans="1:5">
      <c r="A161" t="s">
        <v>412</v>
      </c>
    </row>
    <row r="163" spans="1:5">
      <c r="A163" s="81">
        <f>-'5.Carichi su travi solaio cop.'!$D$75</f>
        <v>-10.257575000000001</v>
      </c>
      <c r="B163" t="s">
        <v>415</v>
      </c>
      <c r="C163" s="97">
        <f>-'5.Carichi su travi solaio cop.'!$R$75</f>
        <v>-16.780132684391802</v>
      </c>
      <c r="E163" t="s">
        <v>406</v>
      </c>
    </row>
    <row r="164" spans="1:5">
      <c r="A164" s="81">
        <f>-'4.Carichi su travi solaio tipo'!$D$75</f>
        <v>-12.681575</v>
      </c>
      <c r="B164" s="81" t="s">
        <v>415</v>
      </c>
      <c r="C164" s="97">
        <f>-'4.Carichi su travi solaio tipo'!$R$75</f>
        <v>-17.992132684391802</v>
      </c>
      <c r="D164" s="81"/>
      <c r="E164" t="s">
        <v>407</v>
      </c>
    </row>
    <row r="165" spans="1:5">
      <c r="A165" s="81">
        <f>-'4.Carichi su travi solaio tipo'!$D$75</f>
        <v>-12.681575</v>
      </c>
      <c r="B165" s="81" t="s">
        <v>415</v>
      </c>
      <c r="C165" s="97">
        <f>-'4.Carichi su travi solaio tipo'!$R$75</f>
        <v>-17.992132684391802</v>
      </c>
      <c r="D165" s="81"/>
      <c r="E165" t="s">
        <v>408</v>
      </c>
    </row>
    <row r="166" spans="1:5">
      <c r="A166" s="81">
        <f>-'4.Carichi su travi solaio tipo'!$D$75</f>
        <v>-12.681575</v>
      </c>
      <c r="B166" s="81" t="s">
        <v>415</v>
      </c>
      <c r="C166" s="97">
        <f>-'4.Carichi su travi solaio tipo'!$R$75</f>
        <v>-17.992132684391802</v>
      </c>
      <c r="D166" s="81"/>
      <c r="E166" t="s">
        <v>409</v>
      </c>
    </row>
    <row r="167" spans="1:5">
      <c r="A167" s="81">
        <f>-'4.Carichi su travi solaio tipo'!$D$75</f>
        <v>-12.681575</v>
      </c>
      <c r="B167" s="81" t="s">
        <v>415</v>
      </c>
      <c r="C167" s="97">
        <f>-'4.Carichi su travi solaio tipo'!$R$75</f>
        <v>-17.992132684391802</v>
      </c>
      <c r="D167" s="81"/>
      <c r="E167" t="s">
        <v>410</v>
      </c>
    </row>
    <row r="168" spans="1:5">
      <c r="A168" s="81">
        <f>-'4.Carichi su travi solaio tipo'!$D$75</f>
        <v>-12.681575</v>
      </c>
      <c r="B168" s="81" t="s">
        <v>415</v>
      </c>
      <c r="C168" s="97">
        <f>-'4.Carichi su travi solaio tipo'!$R$75</f>
        <v>-17.992132684391802</v>
      </c>
      <c r="D168" s="81"/>
      <c r="E168" t="s">
        <v>411</v>
      </c>
    </row>
    <row r="170" spans="1:5">
      <c r="A170" t="s">
        <v>475</v>
      </c>
    </row>
    <row r="172" spans="1:5">
      <c r="A172" t="s">
        <v>412</v>
      </c>
    </row>
    <row r="174" spans="1:5">
      <c r="A174" s="81">
        <f>-'5.Carichi su travi solaio cop.'!$K$75</f>
        <v>-9.1615500000000001</v>
      </c>
      <c r="B174" t="s">
        <v>415</v>
      </c>
      <c r="C174" t="s">
        <v>406</v>
      </c>
    </row>
    <row r="175" spans="1:5">
      <c r="A175" s="81">
        <f>-'4.Carichi su travi solaio tipo'!$K$75</f>
        <v>-10.37355</v>
      </c>
      <c r="B175" s="81" t="s">
        <v>415</v>
      </c>
      <c r="C175" t="s">
        <v>407</v>
      </c>
    </row>
    <row r="176" spans="1:5">
      <c r="A176" s="81">
        <f>-'4.Carichi su travi solaio tipo'!$K$75</f>
        <v>-10.37355</v>
      </c>
      <c r="B176" s="81" t="s">
        <v>415</v>
      </c>
      <c r="C176" t="s">
        <v>408</v>
      </c>
    </row>
    <row r="177" spans="1:3">
      <c r="A177" s="81">
        <f>-'4.Carichi su travi solaio tipo'!$K$75</f>
        <v>-10.37355</v>
      </c>
      <c r="B177" s="81" t="s">
        <v>415</v>
      </c>
      <c r="C177" t="s">
        <v>409</v>
      </c>
    </row>
    <row r="178" spans="1:3">
      <c r="A178" s="81">
        <f>-'4.Carichi su travi solaio tipo'!$K$75</f>
        <v>-10.37355</v>
      </c>
      <c r="B178" s="81" t="s">
        <v>415</v>
      </c>
      <c r="C178" t="s">
        <v>410</v>
      </c>
    </row>
    <row r="179" spans="1:3">
      <c r="A179" s="81">
        <f>-'4.Carichi su travi solaio tipo'!$K$75</f>
        <v>-10.37355</v>
      </c>
      <c r="B179" s="81" t="s">
        <v>415</v>
      </c>
      <c r="C179" t="s">
        <v>411</v>
      </c>
    </row>
    <row r="181" spans="1:3">
      <c r="A181" t="s">
        <v>476</v>
      </c>
    </row>
    <row r="183" spans="1:3">
      <c r="A183" t="s">
        <v>412</v>
      </c>
    </row>
    <row r="185" spans="1:3">
      <c r="A185" s="81">
        <f>-'5.Carichi su travi solaio cop.'!$K$75</f>
        <v>-9.1615500000000001</v>
      </c>
      <c r="B185" t="s">
        <v>415</v>
      </c>
      <c r="C185" t="s">
        <v>406</v>
      </c>
    </row>
    <row r="186" spans="1:3">
      <c r="A186" s="81">
        <f>-'4.Carichi su travi solaio tipo'!$K$75</f>
        <v>-10.37355</v>
      </c>
      <c r="B186" s="81" t="s">
        <v>415</v>
      </c>
      <c r="C186" t="s">
        <v>407</v>
      </c>
    </row>
    <row r="187" spans="1:3">
      <c r="A187" s="81">
        <f>-'4.Carichi su travi solaio tipo'!$K$75</f>
        <v>-10.37355</v>
      </c>
      <c r="B187" s="81" t="s">
        <v>415</v>
      </c>
      <c r="C187" t="s">
        <v>408</v>
      </c>
    </row>
    <row r="188" spans="1:3">
      <c r="A188" s="81">
        <f>-'4.Carichi su travi solaio tipo'!$K$75</f>
        <v>-10.37355</v>
      </c>
      <c r="B188" s="81" t="s">
        <v>415</v>
      </c>
      <c r="C188" t="s">
        <v>409</v>
      </c>
    </row>
    <row r="189" spans="1:3">
      <c r="A189" s="81">
        <f>-'4.Carichi su travi solaio tipo'!$K$75</f>
        <v>-10.37355</v>
      </c>
      <c r="B189" s="81" t="s">
        <v>415</v>
      </c>
      <c r="C189" t="s">
        <v>410</v>
      </c>
    </row>
    <row r="190" spans="1:3">
      <c r="A190" s="81">
        <f>-'4.Carichi su travi solaio tipo'!$K$75</f>
        <v>-10.37355</v>
      </c>
      <c r="B190" s="81" t="s">
        <v>415</v>
      </c>
      <c r="C190" t="s">
        <v>411</v>
      </c>
    </row>
    <row r="192" spans="1:3">
      <c r="A192" t="s">
        <v>477</v>
      </c>
    </row>
    <row r="194" spans="1:11">
      <c r="A194" t="s">
        <v>412</v>
      </c>
    </row>
    <row r="196" spans="1:11">
      <c r="A196" s="81">
        <f>-'5.Carichi su travi solaio cop.'!$D$75</f>
        <v>-10.257575000000001</v>
      </c>
      <c r="B196" t="s">
        <v>415</v>
      </c>
      <c r="C196" s="81">
        <f>-'5.Carichi su travi solaio cop.'!$D$75</f>
        <v>-10.257575000000001</v>
      </c>
      <c r="E196" t="s">
        <v>406</v>
      </c>
      <c r="G196" s="81"/>
    </row>
    <row r="197" spans="1:11">
      <c r="A197" s="81">
        <f>-'4.Carichi su travi solaio tipo'!$D$75</f>
        <v>-12.681575</v>
      </c>
      <c r="B197" s="81" t="s">
        <v>415</v>
      </c>
      <c r="C197" s="81">
        <f>-'4.Carichi su travi solaio tipo'!$D$75</f>
        <v>-12.681575</v>
      </c>
      <c r="E197" t="s">
        <v>407</v>
      </c>
      <c r="G197" s="81"/>
    </row>
    <row r="198" spans="1:11">
      <c r="A198" s="81">
        <f>-'4.Carichi su travi solaio tipo'!$D$75</f>
        <v>-12.681575</v>
      </c>
      <c r="B198" s="81" t="s">
        <v>415</v>
      </c>
      <c r="C198" s="81">
        <f>-'4.Carichi su travi solaio tipo'!$D$75</f>
        <v>-12.681575</v>
      </c>
      <c r="E198" t="s">
        <v>408</v>
      </c>
      <c r="G198" s="81"/>
    </row>
    <row r="199" spans="1:11">
      <c r="A199" s="81">
        <f>-'4.Carichi su travi solaio tipo'!$D$75</f>
        <v>-12.681575</v>
      </c>
      <c r="B199" s="81" t="s">
        <v>415</v>
      </c>
      <c r="C199" s="81">
        <f>-'4.Carichi su travi solaio tipo'!$D$75</f>
        <v>-12.681575</v>
      </c>
      <c r="E199" t="s">
        <v>409</v>
      </c>
      <c r="G199" s="81"/>
    </row>
    <row r="200" spans="1:11">
      <c r="A200" s="81">
        <f>-'4.Carichi su travi solaio tipo'!$D$75</f>
        <v>-12.681575</v>
      </c>
      <c r="B200" s="81" t="s">
        <v>415</v>
      </c>
      <c r="C200" s="81">
        <f>-'4.Carichi su travi solaio tipo'!$D$75</f>
        <v>-12.681575</v>
      </c>
      <c r="E200" t="s">
        <v>410</v>
      </c>
      <c r="G200" s="81"/>
    </row>
    <row r="201" spans="1:11">
      <c r="A201" s="81">
        <f>-'4.Carichi su travi solaio tipo'!$D$75</f>
        <v>-12.681575</v>
      </c>
      <c r="B201" s="81" t="s">
        <v>415</v>
      </c>
      <c r="C201" s="81">
        <f>-'4.Carichi su travi solaio tipo'!$D$75</f>
        <v>-12.681575</v>
      </c>
      <c r="E201" t="s">
        <v>411</v>
      </c>
      <c r="G201" s="81"/>
    </row>
    <row r="203" spans="1:11">
      <c r="A203" t="s">
        <v>478</v>
      </c>
    </row>
    <row r="205" spans="1:11">
      <c r="A205" t="s">
        <v>412</v>
      </c>
    </row>
    <row r="207" spans="1:11">
      <c r="A207" s="81">
        <f>-'5.Carichi su travi solaio cop.'!$E$87</f>
        <v>-34.617390000000007</v>
      </c>
      <c r="B207" t="s">
        <v>415</v>
      </c>
      <c r="C207" s="81">
        <f>-'5.Carichi su travi solaio cop.'!$E$87</f>
        <v>-34.617390000000007</v>
      </c>
      <c r="D207" t="s">
        <v>415</v>
      </c>
      <c r="E207" s="81">
        <f>-'5.Carichi su travi solaio cop.'!$E$87</f>
        <v>-34.617390000000007</v>
      </c>
      <c r="F207" t="s">
        <v>415</v>
      </c>
      <c r="G207" s="81">
        <f>-'5.Carichi su travi solaio cop.'!$E$87</f>
        <v>-34.617390000000007</v>
      </c>
      <c r="I207" t="s">
        <v>406</v>
      </c>
      <c r="K207" s="81"/>
    </row>
    <row r="208" spans="1:11">
      <c r="A208" s="81">
        <f>-'4.Carichi su travi solaio tipo'!$E$87</f>
        <v>-45.717390000000009</v>
      </c>
      <c r="B208" s="81" t="s">
        <v>415</v>
      </c>
      <c r="C208" s="81">
        <f>-'4.Carichi su travi solaio tipo'!$E$87</f>
        <v>-45.717390000000009</v>
      </c>
      <c r="D208" s="81" t="s">
        <v>415</v>
      </c>
      <c r="E208" s="81">
        <f>-'4.Carichi su travi solaio tipo'!$E$87</f>
        <v>-45.717390000000009</v>
      </c>
      <c r="F208" t="s">
        <v>415</v>
      </c>
      <c r="G208" s="81">
        <f>-'4.Carichi su travi solaio tipo'!$E$87</f>
        <v>-45.717390000000009</v>
      </c>
      <c r="I208" t="s">
        <v>407</v>
      </c>
      <c r="J208" s="81"/>
      <c r="K208" s="81"/>
    </row>
    <row r="209" spans="1:11">
      <c r="A209" s="81">
        <f>-'4.Carichi su travi solaio tipo'!$E$87</f>
        <v>-45.717390000000009</v>
      </c>
      <c r="B209" s="81" t="s">
        <v>415</v>
      </c>
      <c r="C209" s="81">
        <f>-'4.Carichi su travi solaio tipo'!$E$87</f>
        <v>-45.717390000000009</v>
      </c>
      <c r="D209" s="81" t="s">
        <v>415</v>
      </c>
      <c r="E209" s="81">
        <f>-'4.Carichi su travi solaio tipo'!$E$87</f>
        <v>-45.717390000000009</v>
      </c>
      <c r="F209" t="s">
        <v>415</v>
      </c>
      <c r="G209" s="81">
        <f>-'4.Carichi su travi solaio tipo'!$E$87</f>
        <v>-45.717390000000009</v>
      </c>
      <c r="I209" t="s">
        <v>408</v>
      </c>
      <c r="J209" s="81"/>
      <c r="K209" s="81"/>
    </row>
    <row r="210" spans="1:11">
      <c r="A210" s="81">
        <f>-'4.Carichi su travi solaio tipo'!$E$87</f>
        <v>-45.717390000000009</v>
      </c>
      <c r="B210" s="81" t="s">
        <v>415</v>
      </c>
      <c r="C210" s="81">
        <f>-'4.Carichi su travi solaio tipo'!$E$87</f>
        <v>-45.717390000000009</v>
      </c>
      <c r="D210" s="81" t="s">
        <v>415</v>
      </c>
      <c r="E210" s="81">
        <f>-'4.Carichi su travi solaio tipo'!$E$87</f>
        <v>-45.717390000000009</v>
      </c>
      <c r="F210" t="s">
        <v>415</v>
      </c>
      <c r="G210" s="81">
        <f>-'4.Carichi su travi solaio tipo'!$E$87</f>
        <v>-45.717390000000009</v>
      </c>
      <c r="I210" t="s">
        <v>409</v>
      </c>
      <c r="J210" s="81"/>
      <c r="K210" s="81"/>
    </row>
    <row r="211" spans="1:11">
      <c r="A211" s="81">
        <f>-'4.Carichi su travi solaio tipo'!$E$87</f>
        <v>-45.717390000000009</v>
      </c>
      <c r="B211" s="81" t="s">
        <v>415</v>
      </c>
      <c r="C211" s="81">
        <f>-'4.Carichi su travi solaio tipo'!$E$87</f>
        <v>-45.717390000000009</v>
      </c>
      <c r="D211" s="81" t="s">
        <v>415</v>
      </c>
      <c r="E211" s="81">
        <f>-'4.Carichi su travi solaio tipo'!$E$87</f>
        <v>-45.717390000000009</v>
      </c>
      <c r="F211" t="s">
        <v>415</v>
      </c>
      <c r="G211" s="81">
        <f>-'4.Carichi su travi solaio tipo'!$E$87</f>
        <v>-45.717390000000009</v>
      </c>
      <c r="I211" t="s">
        <v>410</v>
      </c>
      <c r="J211" s="81"/>
      <c r="K211" s="81"/>
    </row>
    <row r="212" spans="1:11">
      <c r="A212" s="81">
        <f>-'4.Carichi su travi solaio tipo'!$E$87</f>
        <v>-45.717390000000009</v>
      </c>
      <c r="B212" s="81" t="s">
        <v>415</v>
      </c>
      <c r="C212" s="81">
        <f>-'4.Carichi su travi solaio tipo'!$E$87</f>
        <v>-45.717390000000009</v>
      </c>
      <c r="D212" s="81" t="s">
        <v>415</v>
      </c>
      <c r="E212" s="81">
        <f>-'4.Carichi su travi solaio tipo'!$E$87</f>
        <v>-45.717390000000009</v>
      </c>
      <c r="F212" t="s">
        <v>415</v>
      </c>
      <c r="G212" s="81">
        <f>-'4.Carichi su travi solaio tipo'!$E$87</f>
        <v>-45.717390000000009</v>
      </c>
      <c r="I212" t="s">
        <v>411</v>
      </c>
      <c r="J212" s="81"/>
      <c r="K212" s="81"/>
    </row>
    <row r="215" spans="1:11">
      <c r="A215" s="48" t="s">
        <v>479</v>
      </c>
      <c r="B215" s="48"/>
      <c r="C215" s="48"/>
      <c r="D215" s="48"/>
      <c r="E215" s="48"/>
      <c r="F215" s="48"/>
      <c r="G215" s="48"/>
    </row>
    <row r="217" spans="1:11">
      <c r="A217" s="293" t="s">
        <v>404</v>
      </c>
    </row>
    <row r="219" spans="1:11">
      <c r="A219" t="s">
        <v>405</v>
      </c>
    </row>
    <row r="221" spans="1:11">
      <c r="A221" t="s">
        <v>412</v>
      </c>
    </row>
    <row r="223" spans="1:11">
      <c r="A223" s="81">
        <f>-'6.Riep. car. travi e mom. flet.'!$E$24</f>
        <v>-32.539775000000006</v>
      </c>
      <c r="C223" t="s">
        <v>406</v>
      </c>
    </row>
    <row r="224" spans="1:11">
      <c r="A224" s="81">
        <f>-'6.Riep. car. travi e mom. flet.'!$E$5</f>
        <v>-36.739775000000002</v>
      </c>
      <c r="C224" t="s">
        <v>407</v>
      </c>
    </row>
    <row r="225" spans="1:3">
      <c r="A225" s="81">
        <f>-'6.Riep. car. travi e mom. flet.'!$E$5</f>
        <v>-36.739775000000002</v>
      </c>
      <c r="C225" t="s">
        <v>408</v>
      </c>
    </row>
    <row r="226" spans="1:3">
      <c r="A226" s="81">
        <f>-'6.Riep. car. travi e mom. flet.'!$E$5</f>
        <v>-36.739775000000002</v>
      </c>
      <c r="C226" t="s">
        <v>409</v>
      </c>
    </row>
    <row r="227" spans="1:3">
      <c r="A227" s="81">
        <f>-'6.Riep. car. travi e mom. flet.'!$E$5</f>
        <v>-36.739775000000002</v>
      </c>
      <c r="C227" t="s">
        <v>410</v>
      </c>
    </row>
    <row r="228" spans="1:3">
      <c r="A228" s="81">
        <f>-'6.Riep. car. travi e mom. flet.'!$E$5</f>
        <v>-36.739775000000002</v>
      </c>
      <c r="C228" t="s">
        <v>411</v>
      </c>
    </row>
    <row r="230" spans="1:3">
      <c r="A230" t="s">
        <v>413</v>
      </c>
    </row>
    <row r="232" spans="1:3">
      <c r="A232" t="s">
        <v>412</v>
      </c>
    </row>
    <row r="234" spans="1:3">
      <c r="A234" s="81">
        <f>-'6.Riep. car. travi e mom. flet.'!$E$24</f>
        <v>-32.539775000000006</v>
      </c>
      <c r="C234" t="s">
        <v>406</v>
      </c>
    </row>
    <row r="235" spans="1:3">
      <c r="A235" s="81">
        <f>-'6.Riep. car. travi e mom. flet.'!$E$5</f>
        <v>-36.739775000000002</v>
      </c>
      <c r="C235" t="s">
        <v>407</v>
      </c>
    </row>
    <row r="236" spans="1:3">
      <c r="A236" s="81">
        <f>-'6.Riep. car. travi e mom. flet.'!$E$5</f>
        <v>-36.739775000000002</v>
      </c>
      <c r="C236" t="s">
        <v>408</v>
      </c>
    </row>
    <row r="237" spans="1:3">
      <c r="A237" s="81">
        <f>-'6.Riep. car. travi e mom. flet.'!$E$5</f>
        <v>-36.739775000000002</v>
      </c>
      <c r="C237" t="s">
        <v>409</v>
      </c>
    </row>
    <row r="238" spans="1:3">
      <c r="A238" s="81">
        <f>-'6.Riep. car. travi e mom. flet.'!$E$5</f>
        <v>-36.739775000000002</v>
      </c>
      <c r="C238" t="s">
        <v>410</v>
      </c>
    </row>
    <row r="239" spans="1:3">
      <c r="A239" s="81">
        <f>-'6.Riep. car. travi e mom. flet.'!$E$5</f>
        <v>-36.739775000000002</v>
      </c>
      <c r="C239" t="s">
        <v>411</v>
      </c>
    </row>
    <row r="241" spans="1:7">
      <c r="A241" t="s">
        <v>414</v>
      </c>
    </row>
    <row r="243" spans="1:7">
      <c r="A243" t="s">
        <v>412</v>
      </c>
    </row>
    <row r="245" spans="1:7">
      <c r="A245" s="81">
        <f>-'6.Riep. car. travi e mom. flet.'!$E$25</f>
        <v>-23.871860000000002</v>
      </c>
      <c r="B245" t="s">
        <v>415</v>
      </c>
      <c r="C245" s="81">
        <f>-'6.Riep. car. travi e mom. flet.'!$E$7</f>
        <v>-33.835057121523469</v>
      </c>
      <c r="D245" t="s">
        <v>415</v>
      </c>
      <c r="E245" s="81">
        <f>-'6.Riep. car. travi e mom. flet.'!$E$25</f>
        <v>-23.871860000000002</v>
      </c>
      <c r="G245" t="s">
        <v>406</v>
      </c>
    </row>
    <row r="246" spans="1:7">
      <c r="A246" s="81">
        <f>-'6.Riep. car. travi e mom. flet.'!$E$6</f>
        <v>-29.14706</v>
      </c>
      <c r="B246" s="81" t="s">
        <v>415</v>
      </c>
      <c r="C246" s="81">
        <f>-'6.Riep. car. travi e mom. flet.'!$E$7</f>
        <v>-33.835057121523469</v>
      </c>
      <c r="D246" s="81" t="s">
        <v>415</v>
      </c>
      <c r="E246" s="81">
        <f>-'6.Riep. car. travi e mom. flet.'!$E$6</f>
        <v>-29.14706</v>
      </c>
      <c r="G246" t="s">
        <v>407</v>
      </c>
    </row>
    <row r="247" spans="1:7">
      <c r="A247" s="81">
        <f>-'6.Riep. car. travi e mom. flet.'!$E$6</f>
        <v>-29.14706</v>
      </c>
      <c r="B247" s="81" t="s">
        <v>415</v>
      </c>
      <c r="C247" s="81">
        <f>-'6.Riep. car. travi e mom. flet.'!$E$7</f>
        <v>-33.835057121523469</v>
      </c>
      <c r="D247" s="81" t="s">
        <v>415</v>
      </c>
      <c r="E247" s="81">
        <f>-'6.Riep. car. travi e mom. flet.'!$E$6</f>
        <v>-29.14706</v>
      </c>
      <c r="G247" t="s">
        <v>408</v>
      </c>
    </row>
    <row r="248" spans="1:7">
      <c r="A248" s="81">
        <f>-'6.Riep. car. travi e mom. flet.'!$E$6</f>
        <v>-29.14706</v>
      </c>
      <c r="B248" s="81" t="s">
        <v>415</v>
      </c>
      <c r="C248" s="81">
        <f>-'6.Riep. car. travi e mom. flet.'!$E$7</f>
        <v>-33.835057121523469</v>
      </c>
      <c r="D248" s="81" t="s">
        <v>415</v>
      </c>
      <c r="E248" s="81">
        <f>-'6.Riep. car. travi e mom. flet.'!$E$6</f>
        <v>-29.14706</v>
      </c>
      <c r="G248" t="s">
        <v>409</v>
      </c>
    </row>
    <row r="249" spans="1:7">
      <c r="A249" s="81">
        <f>-'6.Riep. car. travi e mom. flet.'!$E$6</f>
        <v>-29.14706</v>
      </c>
      <c r="B249" s="81" t="s">
        <v>415</v>
      </c>
      <c r="C249" s="81">
        <f>-'6.Riep. car. travi e mom. flet.'!$E$7</f>
        <v>-33.835057121523469</v>
      </c>
      <c r="D249" s="81" t="s">
        <v>415</v>
      </c>
      <c r="E249" s="81">
        <f>-'6.Riep. car. travi e mom. flet.'!$E$6</f>
        <v>-29.14706</v>
      </c>
      <c r="G249" t="s">
        <v>410</v>
      </c>
    </row>
    <row r="250" spans="1:7">
      <c r="A250" s="81">
        <f>-'6.Riep. car. travi e mom. flet.'!$E$6</f>
        <v>-29.14706</v>
      </c>
      <c r="B250" s="81" t="s">
        <v>415</v>
      </c>
      <c r="C250" s="81">
        <f>-'6.Riep. car. travi e mom. flet.'!$E$7</f>
        <v>-33.835057121523469</v>
      </c>
      <c r="D250" s="81" t="s">
        <v>415</v>
      </c>
      <c r="E250" s="81">
        <f>-'6.Riep. car. travi e mom. flet.'!$E$6</f>
        <v>-29.14706</v>
      </c>
      <c r="G250" t="s">
        <v>411</v>
      </c>
    </row>
    <row r="252" spans="1:7">
      <c r="A252" t="s">
        <v>416</v>
      </c>
    </row>
    <row r="254" spans="1:7">
      <c r="A254" t="s">
        <v>412</v>
      </c>
    </row>
    <row r="256" spans="1:7">
      <c r="A256" s="81">
        <f>-'6.Riep. car. travi e mom. flet.'!$E$27</f>
        <v>-24.45711</v>
      </c>
      <c r="C256" t="s">
        <v>406</v>
      </c>
    </row>
    <row r="257" spans="1:3">
      <c r="A257" s="81">
        <f>-'6.Riep. car. travi e mom. flet.'!$E$8</f>
        <v>-32.252310000000001</v>
      </c>
      <c r="C257" t="s">
        <v>407</v>
      </c>
    </row>
    <row r="258" spans="1:3">
      <c r="A258" s="81">
        <f>-'6.Riep. car. travi e mom. flet.'!$E$8</f>
        <v>-32.252310000000001</v>
      </c>
      <c r="C258" t="s">
        <v>408</v>
      </c>
    </row>
    <row r="259" spans="1:3">
      <c r="A259" s="81">
        <f>-'6.Riep. car. travi e mom. flet.'!$E$8</f>
        <v>-32.252310000000001</v>
      </c>
      <c r="C259" t="s">
        <v>409</v>
      </c>
    </row>
    <row r="260" spans="1:3">
      <c r="A260" s="81">
        <f>-'6.Riep. car. travi e mom. flet.'!$E$8</f>
        <v>-32.252310000000001</v>
      </c>
      <c r="C260" t="s">
        <v>410</v>
      </c>
    </row>
    <row r="261" spans="1:3">
      <c r="A261" s="81">
        <f>-'6.Riep. car. travi e mom. flet.'!$E$8</f>
        <v>-32.252310000000001</v>
      </c>
      <c r="C261" t="s">
        <v>411</v>
      </c>
    </row>
    <row r="263" spans="1:3">
      <c r="A263" t="s">
        <v>417</v>
      </c>
    </row>
    <row r="265" spans="1:3">
      <c r="A265" t="s">
        <v>412</v>
      </c>
    </row>
    <row r="267" spans="1:3">
      <c r="A267" s="81">
        <f>-'6.Riep. car. travi e mom. flet.'!$E$27</f>
        <v>-24.45711</v>
      </c>
      <c r="C267" t="s">
        <v>406</v>
      </c>
    </row>
    <row r="268" spans="1:3">
      <c r="A268" s="81">
        <f>-'6.Riep. car. travi e mom. flet.'!$E$8</f>
        <v>-32.252310000000001</v>
      </c>
      <c r="C268" t="s">
        <v>407</v>
      </c>
    </row>
    <row r="269" spans="1:3">
      <c r="A269" s="81">
        <f>-'6.Riep. car. travi e mom. flet.'!$E$8</f>
        <v>-32.252310000000001</v>
      </c>
      <c r="C269" t="s">
        <v>408</v>
      </c>
    </row>
    <row r="270" spans="1:3">
      <c r="A270" s="81">
        <f>-'6.Riep. car. travi e mom. flet.'!$E$8</f>
        <v>-32.252310000000001</v>
      </c>
      <c r="C270" t="s">
        <v>409</v>
      </c>
    </row>
    <row r="271" spans="1:3">
      <c r="A271" s="81">
        <f>-'6.Riep. car. travi e mom. flet.'!$E$8</f>
        <v>-32.252310000000001</v>
      </c>
      <c r="C271" t="s">
        <v>410</v>
      </c>
    </row>
    <row r="272" spans="1:3">
      <c r="A272" s="81">
        <f>-'6.Riep. car. travi e mom. flet.'!$E$8</f>
        <v>-32.252310000000001</v>
      </c>
      <c r="C272" t="s">
        <v>411</v>
      </c>
    </row>
    <row r="274" spans="1:11">
      <c r="A274" t="s">
        <v>418</v>
      </c>
    </row>
    <row r="276" spans="1:11">
      <c r="A276" t="s">
        <v>412</v>
      </c>
    </row>
    <row r="278" spans="1:11">
      <c r="A278" s="81">
        <f>-'6.Riep. car. travi e mom. flet.'!$E$29</f>
        <v>-22.51605</v>
      </c>
      <c r="B278" t="s">
        <v>415</v>
      </c>
      <c r="C278" s="81">
        <f>-'6.Riep. car. travi e mom. flet.'!$E$30</f>
        <v>-35.485860000000002</v>
      </c>
      <c r="D278" t="s">
        <v>415</v>
      </c>
      <c r="E278" s="81">
        <f>-'6.Riep. car. travi e mom. flet.'!$E$31</f>
        <v>-52.46359654582816</v>
      </c>
      <c r="F278" t="s">
        <v>415</v>
      </c>
      <c r="G278" s="81">
        <f>-'6.Riep. car. travi e mom. flet.'!$E$30</f>
        <v>-35.485860000000002</v>
      </c>
      <c r="H278" t="s">
        <v>415</v>
      </c>
      <c r="I278" s="81">
        <f>-'6.Riep. car. travi e mom. flet.'!$E$29</f>
        <v>-22.51605</v>
      </c>
      <c r="K278" t="s">
        <v>406</v>
      </c>
    </row>
    <row r="279" spans="1:11">
      <c r="A279" s="81">
        <f>-'6.Riep. car. travi e mom. flet.'!$E$10</f>
        <v>-29.572049999999997</v>
      </c>
      <c r="B279" s="81" t="s">
        <v>415</v>
      </c>
      <c r="C279" s="81">
        <f>-'6.Riep. car. travi e mom. flet.'!$E$11</f>
        <v>-47.481059999999992</v>
      </c>
      <c r="D279" s="81" t="s">
        <v>415</v>
      </c>
      <c r="E279" s="81">
        <f>-'6.Riep. car. travi e mom. flet.'!$E$12</f>
        <v>-58.128556545828161</v>
      </c>
      <c r="F279" t="s">
        <v>415</v>
      </c>
      <c r="G279" s="81">
        <f>-'6.Riep. car. travi e mom. flet.'!$E$11</f>
        <v>-47.481059999999992</v>
      </c>
      <c r="H279" t="s">
        <v>415</v>
      </c>
      <c r="I279" s="81">
        <f>-'6.Riep. car. travi e mom. flet.'!$E$10</f>
        <v>-29.572049999999997</v>
      </c>
      <c r="J279" s="81"/>
      <c r="K279" t="s">
        <v>407</v>
      </c>
    </row>
    <row r="280" spans="1:11">
      <c r="A280" s="81">
        <f>-'6.Riep. car. travi e mom. flet.'!$E$10</f>
        <v>-29.572049999999997</v>
      </c>
      <c r="B280" s="81" t="s">
        <v>415</v>
      </c>
      <c r="C280" s="81">
        <f>-'6.Riep. car. travi e mom. flet.'!$E$11</f>
        <v>-47.481059999999992</v>
      </c>
      <c r="D280" s="81" t="s">
        <v>415</v>
      </c>
      <c r="E280" s="81">
        <f>-'6.Riep. car. travi e mom. flet.'!$E$12</f>
        <v>-58.128556545828161</v>
      </c>
      <c r="F280" t="s">
        <v>415</v>
      </c>
      <c r="G280" s="81">
        <f>-'6.Riep. car. travi e mom. flet.'!$E$11</f>
        <v>-47.481059999999992</v>
      </c>
      <c r="H280" t="s">
        <v>415</v>
      </c>
      <c r="I280" s="81">
        <f>-'6.Riep. car. travi e mom. flet.'!$E$10</f>
        <v>-29.572049999999997</v>
      </c>
      <c r="J280" s="81"/>
      <c r="K280" t="s">
        <v>408</v>
      </c>
    </row>
    <row r="281" spans="1:11">
      <c r="A281" s="81">
        <f>-'6.Riep. car. travi e mom. flet.'!$E$10</f>
        <v>-29.572049999999997</v>
      </c>
      <c r="B281" s="81" t="s">
        <v>415</v>
      </c>
      <c r="C281" s="81">
        <f>-'6.Riep. car. travi e mom. flet.'!$E$11</f>
        <v>-47.481059999999992</v>
      </c>
      <c r="D281" s="81" t="s">
        <v>415</v>
      </c>
      <c r="E281" s="81">
        <f>-'6.Riep. car. travi e mom. flet.'!$E$12</f>
        <v>-58.128556545828161</v>
      </c>
      <c r="F281" t="s">
        <v>415</v>
      </c>
      <c r="G281" s="81">
        <f>-'6.Riep. car. travi e mom. flet.'!$E$11</f>
        <v>-47.481059999999992</v>
      </c>
      <c r="H281" t="s">
        <v>415</v>
      </c>
      <c r="I281" s="81">
        <f>-'6.Riep. car. travi e mom. flet.'!$E$10</f>
        <v>-29.572049999999997</v>
      </c>
      <c r="J281" s="81"/>
      <c r="K281" t="s">
        <v>409</v>
      </c>
    </row>
    <row r="282" spans="1:11">
      <c r="A282" s="81">
        <f>-'6.Riep. car. travi e mom. flet.'!$E$10</f>
        <v>-29.572049999999997</v>
      </c>
      <c r="B282" s="81" t="s">
        <v>415</v>
      </c>
      <c r="C282" s="81">
        <f>-'6.Riep. car. travi e mom. flet.'!$E$11</f>
        <v>-47.481059999999992</v>
      </c>
      <c r="D282" s="81" t="s">
        <v>415</v>
      </c>
      <c r="E282" s="81">
        <f>-'6.Riep. car. travi e mom. flet.'!$E$12</f>
        <v>-58.128556545828161</v>
      </c>
      <c r="F282" t="s">
        <v>415</v>
      </c>
      <c r="G282" s="81">
        <f>-'6.Riep. car. travi e mom. flet.'!$E$11</f>
        <v>-47.481059999999992</v>
      </c>
      <c r="H282" t="s">
        <v>415</v>
      </c>
      <c r="I282" s="81">
        <f>-'6.Riep. car. travi e mom. flet.'!$E$10</f>
        <v>-29.572049999999997</v>
      </c>
      <c r="J282" s="81"/>
      <c r="K282" t="s">
        <v>410</v>
      </c>
    </row>
    <row r="283" spans="1:11">
      <c r="A283" s="81">
        <f>-'6.Riep. car. travi e mom. flet.'!$E$10</f>
        <v>-29.572049999999997</v>
      </c>
      <c r="B283" s="81" t="s">
        <v>415</v>
      </c>
      <c r="C283" s="81">
        <f>-'6.Riep. car. travi e mom. flet.'!$E$11</f>
        <v>-47.481059999999992</v>
      </c>
      <c r="D283" s="81" t="s">
        <v>415</v>
      </c>
      <c r="E283" s="81">
        <f>-'6.Riep. car. travi e mom. flet.'!$E$12</f>
        <v>-58.128556545828161</v>
      </c>
      <c r="F283" t="s">
        <v>415</v>
      </c>
      <c r="G283" s="81">
        <f>-'6.Riep. car. travi e mom. flet.'!$E$11</f>
        <v>-47.481059999999992</v>
      </c>
      <c r="H283" t="s">
        <v>415</v>
      </c>
      <c r="I283" s="81">
        <f>-'6.Riep. car. travi e mom. flet.'!$E$10</f>
        <v>-29.572049999999997</v>
      </c>
      <c r="J283" s="81"/>
      <c r="K283" t="s">
        <v>411</v>
      </c>
    </row>
    <row r="285" spans="1:11">
      <c r="A285" t="s">
        <v>462</v>
      </c>
    </row>
    <row r="287" spans="1:11">
      <c r="A287" t="s">
        <v>412</v>
      </c>
    </row>
    <row r="289" spans="1:16">
      <c r="A289" s="81">
        <f>-'6.Riep. car. travi e mom. flet.'!$E$32</f>
        <v>-22.670452500000003</v>
      </c>
      <c r="B289" t="s">
        <v>415</v>
      </c>
      <c r="C289" s="81">
        <f>-'6.Riep. car. travi e mom. flet.'!$E$33</f>
        <v>-18.737995360703305</v>
      </c>
      <c r="D289" t="s">
        <v>415</v>
      </c>
      <c r="E289" s="81">
        <f>-'6.Riep. car. travi e mom. flet.'!$E$34</f>
        <v>-22.416065</v>
      </c>
      <c r="F289" t="s">
        <v>415</v>
      </c>
      <c r="G289" s="81">
        <f>-'6.Riep. car. travi e mom. flet.'!$E$34</f>
        <v>-22.416065</v>
      </c>
      <c r="H289" t="s">
        <v>415</v>
      </c>
      <c r="I289" s="81">
        <f>-'6.Riep. car. travi e mom. flet.'!$E$34</f>
        <v>-22.416065</v>
      </c>
      <c r="J289" t="s">
        <v>415</v>
      </c>
      <c r="K289" s="81">
        <f>-'6.Riep. car. travi e mom. flet.'!$D$33</f>
        <v>-32.897572525133576</v>
      </c>
      <c r="L289" t="s">
        <v>415</v>
      </c>
      <c r="M289" s="81">
        <f>-'6.Riep. car. travi e mom. flet.'!$D$32</f>
        <v>-38.873288250000009</v>
      </c>
      <c r="P289" t="s">
        <v>406</v>
      </c>
    </row>
    <row r="290" spans="1:16">
      <c r="A290" s="81">
        <f>-'6.Riep. car. travi e mom. flet.'!$E$13</f>
        <v>-29.785252499999999</v>
      </c>
      <c r="B290" s="81" t="s">
        <v>415</v>
      </c>
      <c r="C290" s="81">
        <f>-'6.Riep. car. travi e mom. flet.'!$E$14</f>
        <v>-25.199319673517895</v>
      </c>
      <c r="D290" s="81" t="s">
        <v>415</v>
      </c>
      <c r="E290" s="81">
        <f>-'6.Riep. car. travi e mom. flet.'!$E$15</f>
        <v>-27.136865000000004</v>
      </c>
      <c r="F290" t="s">
        <v>415</v>
      </c>
      <c r="G290" s="81">
        <f>-'6.Riep. car. travi e mom. flet.'!$E$15</f>
        <v>-27.136865000000004</v>
      </c>
      <c r="H290" t="s">
        <v>415</v>
      </c>
      <c r="I290" s="81">
        <f>-'6.Riep. car. travi e mom. flet.'!$E$15</f>
        <v>-27.136865000000004</v>
      </c>
      <c r="J290" s="81" t="s">
        <v>415</v>
      </c>
      <c r="K290" s="81">
        <f>-'6.Riep. car. travi e mom. flet.'!$E$14</f>
        <v>-25.199319673517895</v>
      </c>
      <c r="L290" s="81" t="s">
        <v>415</v>
      </c>
      <c r="M290" s="81">
        <f>-'6.Riep. car. travi e mom. flet.'!$E$13</f>
        <v>-29.785252499999999</v>
      </c>
      <c r="N290" s="81"/>
      <c r="P290" t="s">
        <v>407</v>
      </c>
    </row>
    <row r="291" spans="1:16">
      <c r="A291" s="81">
        <f>-'6.Riep. car. travi e mom. flet.'!$E$13</f>
        <v>-29.785252499999999</v>
      </c>
      <c r="B291" s="81" t="s">
        <v>415</v>
      </c>
      <c r="C291" s="81">
        <f>-'6.Riep. car. travi e mom. flet.'!$E$14</f>
        <v>-25.199319673517895</v>
      </c>
      <c r="D291" s="81" t="s">
        <v>415</v>
      </c>
      <c r="E291" s="81">
        <f>-'6.Riep. car. travi e mom. flet.'!$E$15</f>
        <v>-27.136865000000004</v>
      </c>
      <c r="F291" t="s">
        <v>415</v>
      </c>
      <c r="G291" s="81">
        <f>-'6.Riep. car. travi e mom. flet.'!$E$15</f>
        <v>-27.136865000000004</v>
      </c>
      <c r="H291" t="s">
        <v>415</v>
      </c>
      <c r="I291" s="81">
        <f>-'6.Riep. car. travi e mom. flet.'!$E$15</f>
        <v>-27.136865000000004</v>
      </c>
      <c r="J291" s="81" t="s">
        <v>415</v>
      </c>
      <c r="K291" s="81">
        <f>-'6.Riep. car. travi e mom. flet.'!$E$14</f>
        <v>-25.199319673517895</v>
      </c>
      <c r="L291" s="81" t="s">
        <v>415</v>
      </c>
      <c r="M291" s="81">
        <f>-'6.Riep. car. travi e mom. flet.'!$E$13</f>
        <v>-29.785252499999999</v>
      </c>
      <c r="N291" s="81"/>
      <c r="P291" t="s">
        <v>408</v>
      </c>
    </row>
    <row r="292" spans="1:16">
      <c r="A292" s="81">
        <f>-'6.Riep. car. travi e mom. flet.'!$E$13</f>
        <v>-29.785252499999999</v>
      </c>
      <c r="B292" s="81" t="s">
        <v>415</v>
      </c>
      <c r="C292" s="81">
        <f>-'6.Riep. car. travi e mom. flet.'!$E$14</f>
        <v>-25.199319673517895</v>
      </c>
      <c r="D292" s="81" t="s">
        <v>415</v>
      </c>
      <c r="E292" s="81">
        <f>-'6.Riep. car. travi e mom. flet.'!$E$15</f>
        <v>-27.136865000000004</v>
      </c>
      <c r="F292" t="s">
        <v>415</v>
      </c>
      <c r="G292" s="81">
        <f>-'6.Riep. car. travi e mom. flet.'!$E$15</f>
        <v>-27.136865000000004</v>
      </c>
      <c r="H292" t="s">
        <v>415</v>
      </c>
      <c r="I292" s="81">
        <f>-'6.Riep. car. travi e mom. flet.'!$E$15</f>
        <v>-27.136865000000004</v>
      </c>
      <c r="J292" s="81" t="s">
        <v>415</v>
      </c>
      <c r="K292" s="81">
        <f>-'6.Riep. car. travi e mom. flet.'!$E$14</f>
        <v>-25.199319673517895</v>
      </c>
      <c r="L292" s="81" t="s">
        <v>415</v>
      </c>
      <c r="M292" s="81">
        <f>-'6.Riep. car. travi e mom. flet.'!$E$13</f>
        <v>-29.785252499999999</v>
      </c>
      <c r="N292" s="81"/>
      <c r="P292" t="s">
        <v>409</v>
      </c>
    </row>
    <row r="293" spans="1:16">
      <c r="A293" s="81">
        <f>-'6.Riep. car. travi e mom. flet.'!$E$13</f>
        <v>-29.785252499999999</v>
      </c>
      <c r="B293" s="81" t="s">
        <v>415</v>
      </c>
      <c r="C293" s="81">
        <f>-'6.Riep. car. travi e mom. flet.'!$E$14</f>
        <v>-25.199319673517895</v>
      </c>
      <c r="D293" s="81" t="s">
        <v>415</v>
      </c>
      <c r="E293" s="81">
        <f>-'6.Riep. car. travi e mom. flet.'!$E$15</f>
        <v>-27.136865000000004</v>
      </c>
      <c r="F293" t="s">
        <v>415</v>
      </c>
      <c r="G293" s="81">
        <f>-'6.Riep. car. travi e mom. flet.'!$E$15</f>
        <v>-27.136865000000004</v>
      </c>
      <c r="H293" t="s">
        <v>415</v>
      </c>
      <c r="I293" s="81">
        <f>-'6.Riep. car. travi e mom. flet.'!$E$15</f>
        <v>-27.136865000000004</v>
      </c>
      <c r="J293" s="81" t="s">
        <v>415</v>
      </c>
      <c r="K293" s="81">
        <f>-'6.Riep. car. travi e mom. flet.'!$E$14</f>
        <v>-25.199319673517895</v>
      </c>
      <c r="L293" s="81" t="s">
        <v>415</v>
      </c>
      <c r="M293" s="81">
        <f>-'6.Riep. car. travi e mom. flet.'!$E$13</f>
        <v>-29.785252499999999</v>
      </c>
      <c r="N293" s="81"/>
      <c r="P293" t="s">
        <v>410</v>
      </c>
    </row>
    <row r="294" spans="1:16">
      <c r="A294" s="81">
        <f>-'6.Riep. car. travi e mom. flet.'!$E$13</f>
        <v>-29.785252499999999</v>
      </c>
      <c r="B294" s="81" t="s">
        <v>415</v>
      </c>
      <c r="C294" s="81">
        <f>-'6.Riep. car. travi e mom. flet.'!$E$14</f>
        <v>-25.199319673517895</v>
      </c>
      <c r="D294" s="81" t="s">
        <v>415</v>
      </c>
      <c r="E294" s="81">
        <f>-'6.Riep. car. travi e mom. flet.'!$E$15</f>
        <v>-27.136865000000004</v>
      </c>
      <c r="F294" t="s">
        <v>415</v>
      </c>
      <c r="G294" s="81">
        <f>-'6.Riep. car. travi e mom. flet.'!$E$15</f>
        <v>-27.136865000000004</v>
      </c>
      <c r="H294" t="s">
        <v>415</v>
      </c>
      <c r="I294" s="81">
        <f>-'6.Riep. car. travi e mom. flet.'!$E$15</f>
        <v>-27.136865000000004</v>
      </c>
      <c r="J294" s="81" t="s">
        <v>415</v>
      </c>
      <c r="K294" s="81">
        <f>-'6.Riep. car. travi e mom. flet.'!$E$14</f>
        <v>-25.199319673517895</v>
      </c>
      <c r="L294" s="81" t="s">
        <v>415</v>
      </c>
      <c r="M294" s="81">
        <f>-'6.Riep. car. travi e mom. flet.'!$E$13</f>
        <v>-29.785252499999999</v>
      </c>
      <c r="N294" s="81"/>
      <c r="P294" t="s">
        <v>411</v>
      </c>
    </row>
    <row r="296" spans="1:16">
      <c r="A296" t="s">
        <v>463</v>
      </c>
    </row>
    <row r="298" spans="1:16">
      <c r="A298" t="s">
        <v>412</v>
      </c>
    </row>
    <row r="300" spans="1:16">
      <c r="A300" s="81">
        <f>-'6.Riep. car. travi e mom. flet.'!$E$35</f>
        <v>-31.701589999999999</v>
      </c>
      <c r="C300" t="s">
        <v>406</v>
      </c>
    </row>
    <row r="301" spans="1:16">
      <c r="A301" s="81">
        <f>-'6.Riep. car. travi e mom. flet.'!$E$16</f>
        <v>-35.582390000000004</v>
      </c>
      <c r="C301" t="s">
        <v>407</v>
      </c>
    </row>
    <row r="302" spans="1:16">
      <c r="A302" s="81">
        <f>-'6.Riep. car. travi e mom. flet.'!$E$16</f>
        <v>-35.582390000000004</v>
      </c>
      <c r="C302" t="s">
        <v>408</v>
      </c>
    </row>
    <row r="303" spans="1:16">
      <c r="A303" s="81">
        <f>-'6.Riep. car. travi e mom. flet.'!$E$16</f>
        <v>-35.582390000000004</v>
      </c>
      <c r="C303" t="s">
        <v>409</v>
      </c>
    </row>
    <row r="304" spans="1:16">
      <c r="A304" s="81">
        <f>-'6.Riep. car. travi e mom. flet.'!$E$16</f>
        <v>-35.582390000000004</v>
      </c>
      <c r="C304" t="s">
        <v>410</v>
      </c>
    </row>
    <row r="305" spans="1:3">
      <c r="A305" s="81">
        <f>-'6.Riep. car. travi e mom. flet.'!$E$16</f>
        <v>-35.582390000000004</v>
      </c>
      <c r="C305" t="s">
        <v>411</v>
      </c>
    </row>
    <row r="307" spans="1:3">
      <c r="A307" t="s">
        <v>464</v>
      </c>
    </row>
    <row r="309" spans="1:3">
      <c r="A309" t="s">
        <v>412</v>
      </c>
    </row>
    <row r="311" spans="1:3">
      <c r="A311" s="81">
        <f>-'6.Riep. car. travi e mom. flet.'!$E$35</f>
        <v>-31.701589999999999</v>
      </c>
      <c r="C311" t="s">
        <v>406</v>
      </c>
    </row>
    <row r="312" spans="1:3">
      <c r="A312" s="81">
        <f>-'6.Riep. car. travi e mom. flet.'!$E$16</f>
        <v>-35.582390000000004</v>
      </c>
      <c r="C312" t="s">
        <v>407</v>
      </c>
    </row>
    <row r="313" spans="1:3">
      <c r="A313" s="81">
        <f>-'6.Riep. car. travi e mom. flet.'!$E$16</f>
        <v>-35.582390000000004</v>
      </c>
      <c r="C313" t="s">
        <v>408</v>
      </c>
    </row>
    <row r="314" spans="1:3">
      <c r="A314" s="81">
        <f>-'6.Riep. car. travi e mom. flet.'!$E$16</f>
        <v>-35.582390000000004</v>
      </c>
      <c r="C314" t="s">
        <v>409</v>
      </c>
    </row>
    <row r="315" spans="1:3">
      <c r="A315" s="81">
        <f>-'6.Riep. car. travi e mom. flet.'!$E$16</f>
        <v>-35.582390000000004</v>
      </c>
      <c r="C315" t="s">
        <v>410</v>
      </c>
    </row>
    <row r="316" spans="1:3">
      <c r="A316" s="81">
        <f>-'6.Riep. car. travi e mom. flet.'!$E$16</f>
        <v>-35.582390000000004</v>
      </c>
      <c r="C316" t="s">
        <v>411</v>
      </c>
    </row>
    <row r="318" spans="1:3">
      <c r="A318" t="s">
        <v>465</v>
      </c>
      <c r="C318" s="48"/>
    </row>
    <row r="320" spans="1:3">
      <c r="A320" t="s">
        <v>412</v>
      </c>
    </row>
    <row r="322" spans="1:14">
      <c r="A322" s="81">
        <f>-'5.Carichi su travi solaio cop.'!$G$87</f>
        <v>-22.534050000000004</v>
      </c>
      <c r="B322" t="s">
        <v>415</v>
      </c>
      <c r="C322" s="81">
        <f>-'5.Carichi su travi solaio cop.'!$G$87</f>
        <v>-22.534050000000004</v>
      </c>
      <c r="D322" t="s">
        <v>415</v>
      </c>
      <c r="E322" s="81">
        <f>-'5.Carichi su travi solaio cop.'!$G$87</f>
        <v>-22.534050000000004</v>
      </c>
      <c r="F322" t="s">
        <v>415</v>
      </c>
      <c r="G322" s="81">
        <f>-'5.Carichi su travi solaio cop.'!$G$87</f>
        <v>-22.534050000000004</v>
      </c>
      <c r="I322" t="s">
        <v>406</v>
      </c>
      <c r="K322" s="81"/>
      <c r="M322" s="81"/>
    </row>
    <row r="323" spans="1:14">
      <c r="A323" s="81">
        <f>-'4.Carichi su travi solaio tipo'!$G$87</f>
        <v>-29.194050000000004</v>
      </c>
      <c r="B323" s="81" t="s">
        <v>415</v>
      </c>
      <c r="C323" s="81">
        <f>-'4.Carichi su travi solaio tipo'!$G$87</f>
        <v>-29.194050000000004</v>
      </c>
      <c r="D323" s="81" t="s">
        <v>415</v>
      </c>
      <c r="E323" s="81">
        <f>-'4.Carichi su travi solaio tipo'!$G$87</f>
        <v>-29.194050000000004</v>
      </c>
      <c r="F323" t="s">
        <v>415</v>
      </c>
      <c r="G323" s="81">
        <f>-'4.Carichi su travi solaio tipo'!$G$87</f>
        <v>-29.194050000000004</v>
      </c>
      <c r="I323" t="s">
        <v>407</v>
      </c>
      <c r="J323" s="81"/>
      <c r="K323" s="81"/>
      <c r="L323" s="81"/>
      <c r="M323" s="81"/>
      <c r="N323" s="81"/>
    </row>
    <row r="324" spans="1:14">
      <c r="A324" s="81">
        <f>-'4.Carichi su travi solaio tipo'!$G$87</f>
        <v>-29.194050000000004</v>
      </c>
      <c r="B324" s="81" t="s">
        <v>415</v>
      </c>
      <c r="C324" s="81">
        <f>-'4.Carichi su travi solaio tipo'!$G$87</f>
        <v>-29.194050000000004</v>
      </c>
      <c r="D324" s="81" t="s">
        <v>415</v>
      </c>
      <c r="E324" s="81">
        <f>-'4.Carichi su travi solaio tipo'!$G$87</f>
        <v>-29.194050000000004</v>
      </c>
      <c r="F324" t="s">
        <v>415</v>
      </c>
      <c r="G324" s="81">
        <f>-'4.Carichi su travi solaio tipo'!$G$87</f>
        <v>-29.194050000000004</v>
      </c>
      <c r="I324" t="s">
        <v>408</v>
      </c>
      <c r="J324" s="81"/>
      <c r="K324" s="81"/>
      <c r="L324" s="81"/>
      <c r="M324" s="81"/>
      <c r="N324" s="81"/>
    </row>
    <row r="325" spans="1:14">
      <c r="A325" s="81">
        <f>-'4.Carichi su travi solaio tipo'!$G$87</f>
        <v>-29.194050000000004</v>
      </c>
      <c r="B325" s="81" t="s">
        <v>415</v>
      </c>
      <c r="C325" s="81">
        <f>-'4.Carichi su travi solaio tipo'!$G$87</f>
        <v>-29.194050000000004</v>
      </c>
      <c r="D325" s="81" t="s">
        <v>415</v>
      </c>
      <c r="E325" s="81">
        <f>-'4.Carichi su travi solaio tipo'!$G$87</f>
        <v>-29.194050000000004</v>
      </c>
      <c r="F325" t="s">
        <v>415</v>
      </c>
      <c r="G325" s="81">
        <f>-'4.Carichi su travi solaio tipo'!$G$87</f>
        <v>-29.194050000000004</v>
      </c>
      <c r="I325" t="s">
        <v>409</v>
      </c>
      <c r="J325" s="81"/>
      <c r="K325" s="81"/>
      <c r="L325" s="81"/>
      <c r="M325" s="81"/>
      <c r="N325" s="81"/>
    </row>
    <row r="326" spans="1:14">
      <c r="A326" s="81">
        <f>-'4.Carichi su travi solaio tipo'!$G$87</f>
        <v>-29.194050000000004</v>
      </c>
      <c r="B326" s="81" t="s">
        <v>415</v>
      </c>
      <c r="C326" s="81">
        <f>-'4.Carichi su travi solaio tipo'!$G$87</f>
        <v>-29.194050000000004</v>
      </c>
      <c r="D326" s="81" t="s">
        <v>415</v>
      </c>
      <c r="E326" s="81">
        <f>-'4.Carichi su travi solaio tipo'!$G$87</f>
        <v>-29.194050000000004</v>
      </c>
      <c r="F326" t="s">
        <v>415</v>
      </c>
      <c r="G326" s="81">
        <f>-'4.Carichi su travi solaio tipo'!$G$87</f>
        <v>-29.194050000000004</v>
      </c>
      <c r="I326" t="s">
        <v>410</v>
      </c>
      <c r="J326" s="81"/>
      <c r="K326" s="81"/>
      <c r="L326" s="81"/>
      <c r="M326" s="81"/>
      <c r="N326" s="81"/>
    </row>
    <row r="327" spans="1:14">
      <c r="A327" s="81">
        <f>-'4.Carichi su travi solaio tipo'!$G$87</f>
        <v>-29.194050000000004</v>
      </c>
      <c r="B327" s="81" t="s">
        <v>415</v>
      </c>
      <c r="C327" s="81">
        <f>-'4.Carichi su travi solaio tipo'!$G$87</f>
        <v>-29.194050000000004</v>
      </c>
      <c r="D327" s="81" t="s">
        <v>415</v>
      </c>
      <c r="E327" s="81">
        <f>-'4.Carichi su travi solaio tipo'!$G$87</f>
        <v>-29.194050000000004</v>
      </c>
      <c r="F327" t="s">
        <v>415</v>
      </c>
      <c r="G327" s="81">
        <f>-'4.Carichi su travi solaio tipo'!$G$87</f>
        <v>-29.194050000000004</v>
      </c>
      <c r="I327" t="s">
        <v>411</v>
      </c>
      <c r="J327" s="81"/>
      <c r="K327" s="81"/>
      <c r="L327" s="81"/>
      <c r="M327" s="81"/>
      <c r="N327" s="81"/>
    </row>
    <row r="329" spans="1:14">
      <c r="A329" t="s">
        <v>466</v>
      </c>
    </row>
    <row r="331" spans="1:14">
      <c r="A331" t="s">
        <v>412</v>
      </c>
    </row>
    <row r="333" spans="1:14">
      <c r="A333" s="81">
        <f>-'5.Carichi su travi solaio cop.'!$F$75</f>
        <v>-6.1827500000000004</v>
      </c>
      <c r="B333" t="s">
        <v>415</v>
      </c>
      <c r="C333" s="81">
        <f>-'5.Carichi su travi solaio cop.'!$F$75</f>
        <v>-6.1827500000000004</v>
      </c>
      <c r="E333" t="s">
        <v>406</v>
      </c>
      <c r="G333" s="81"/>
    </row>
    <row r="334" spans="1:14">
      <c r="A334" s="81">
        <f>-'4.Carichi su travi solaio tipo'!$F$75</f>
        <v>-7.8627500000000001</v>
      </c>
      <c r="B334" s="81" t="s">
        <v>415</v>
      </c>
      <c r="C334" s="81">
        <f>-'4.Carichi su travi solaio tipo'!$F$75</f>
        <v>-7.8627500000000001</v>
      </c>
      <c r="E334" t="s">
        <v>407</v>
      </c>
      <c r="G334" s="81"/>
      <c r="J334" s="81"/>
    </row>
    <row r="335" spans="1:14">
      <c r="A335" s="81">
        <f>-'4.Carichi su travi solaio tipo'!$F$75</f>
        <v>-7.8627500000000001</v>
      </c>
      <c r="B335" s="81" t="s">
        <v>415</v>
      </c>
      <c r="C335" s="81">
        <f>-'4.Carichi su travi solaio tipo'!$F$75</f>
        <v>-7.8627500000000001</v>
      </c>
      <c r="E335" t="s">
        <v>408</v>
      </c>
      <c r="G335" s="81"/>
      <c r="J335" s="81"/>
    </row>
    <row r="336" spans="1:14">
      <c r="A336" s="81">
        <f>-'4.Carichi su travi solaio tipo'!$F$75</f>
        <v>-7.8627500000000001</v>
      </c>
      <c r="B336" s="81" t="s">
        <v>415</v>
      </c>
      <c r="C336" s="81">
        <f>-'4.Carichi su travi solaio tipo'!$F$75</f>
        <v>-7.8627500000000001</v>
      </c>
      <c r="E336" t="s">
        <v>409</v>
      </c>
      <c r="G336" s="81"/>
      <c r="J336" s="81"/>
    </row>
    <row r="337" spans="1:10">
      <c r="A337" s="81">
        <f>-'4.Carichi su travi solaio tipo'!$F$75</f>
        <v>-7.8627500000000001</v>
      </c>
      <c r="B337" s="81" t="s">
        <v>415</v>
      </c>
      <c r="C337" s="81">
        <f>-'4.Carichi su travi solaio tipo'!$F$75</f>
        <v>-7.8627500000000001</v>
      </c>
      <c r="E337" t="s">
        <v>410</v>
      </c>
      <c r="G337" s="81"/>
      <c r="J337" s="81"/>
    </row>
    <row r="338" spans="1:10">
      <c r="A338" s="81">
        <f>-'4.Carichi su travi solaio tipo'!$F$75</f>
        <v>-7.8627500000000001</v>
      </c>
      <c r="B338" s="81" t="s">
        <v>415</v>
      </c>
      <c r="C338" s="81">
        <f>-'4.Carichi su travi solaio tipo'!$F$75</f>
        <v>-7.8627500000000001</v>
      </c>
      <c r="E338" t="s">
        <v>411</v>
      </c>
      <c r="G338" s="81"/>
      <c r="J338" s="81"/>
    </row>
    <row r="340" spans="1:10">
      <c r="A340" t="s">
        <v>469</v>
      </c>
    </row>
    <row r="342" spans="1:10">
      <c r="A342" t="s">
        <v>412</v>
      </c>
    </row>
    <row r="344" spans="1:10">
      <c r="A344" s="81">
        <f>-'5.Carichi su travi solaio cop.'!$M$75</f>
        <v>-3.9769999999999999</v>
      </c>
      <c r="B344" t="s">
        <v>415</v>
      </c>
      <c r="C344" t="s">
        <v>406</v>
      </c>
    </row>
    <row r="345" spans="1:10">
      <c r="A345" s="81">
        <f>-'4.Carichi su travi solaio tipo'!$M$75</f>
        <v>-4.8170000000000002</v>
      </c>
      <c r="B345" s="81" t="s">
        <v>415</v>
      </c>
      <c r="C345" t="s">
        <v>407</v>
      </c>
    </row>
    <row r="346" spans="1:10">
      <c r="A346" s="81">
        <f>-'4.Carichi su travi solaio tipo'!$M$75</f>
        <v>-4.8170000000000002</v>
      </c>
      <c r="B346" s="81" t="s">
        <v>415</v>
      </c>
      <c r="C346" t="s">
        <v>408</v>
      </c>
    </row>
    <row r="347" spans="1:10">
      <c r="A347" s="81">
        <f>-'4.Carichi su travi solaio tipo'!$M$75</f>
        <v>-4.8170000000000002</v>
      </c>
      <c r="B347" s="81" t="s">
        <v>415</v>
      </c>
      <c r="C347" t="s">
        <v>409</v>
      </c>
    </row>
    <row r="348" spans="1:10">
      <c r="A348" s="81">
        <f>-'4.Carichi su travi solaio tipo'!$M$75</f>
        <v>-4.8170000000000002</v>
      </c>
      <c r="B348" s="81" t="s">
        <v>415</v>
      </c>
      <c r="C348" t="s">
        <v>410</v>
      </c>
    </row>
    <row r="349" spans="1:10">
      <c r="A349" s="81">
        <f>-'4.Carichi su travi solaio tipo'!$M$75</f>
        <v>-4.8170000000000002</v>
      </c>
      <c r="B349" s="81" t="s">
        <v>415</v>
      </c>
      <c r="C349" t="s">
        <v>411</v>
      </c>
    </row>
    <row r="351" spans="1:10">
      <c r="A351" t="s">
        <v>470</v>
      </c>
    </row>
    <row r="353" spans="1:5">
      <c r="A353" t="s">
        <v>412</v>
      </c>
    </row>
    <row r="355" spans="1:5">
      <c r="A355" s="81">
        <f>-'5.Carichi su travi solaio cop.'!$M$75</f>
        <v>-3.9769999999999999</v>
      </c>
      <c r="B355" t="s">
        <v>415</v>
      </c>
      <c r="C355" t="s">
        <v>406</v>
      </c>
    </row>
    <row r="356" spans="1:5">
      <c r="A356" s="81">
        <f>-'4.Carichi su travi solaio tipo'!$M$75</f>
        <v>-4.8170000000000002</v>
      </c>
      <c r="B356" s="81" t="s">
        <v>415</v>
      </c>
      <c r="C356" t="s">
        <v>407</v>
      </c>
    </row>
    <row r="357" spans="1:5">
      <c r="A357" s="81">
        <f>-'4.Carichi su travi solaio tipo'!$M$75</f>
        <v>-4.8170000000000002</v>
      </c>
      <c r="B357" s="81" t="s">
        <v>415</v>
      </c>
      <c r="C357" t="s">
        <v>408</v>
      </c>
    </row>
    <row r="358" spans="1:5">
      <c r="A358" s="81">
        <f>-'4.Carichi su travi solaio tipo'!$M$75</f>
        <v>-4.8170000000000002</v>
      </c>
      <c r="B358" s="81" t="s">
        <v>415</v>
      </c>
      <c r="C358" t="s">
        <v>409</v>
      </c>
    </row>
    <row r="359" spans="1:5">
      <c r="A359" s="81">
        <f>-'4.Carichi su travi solaio tipo'!$M$75</f>
        <v>-4.8170000000000002</v>
      </c>
      <c r="B359" s="81" t="s">
        <v>415</v>
      </c>
      <c r="C359" t="s">
        <v>410</v>
      </c>
    </row>
    <row r="360" spans="1:5">
      <c r="A360" s="81">
        <f>-'4.Carichi su travi solaio tipo'!$M$75</f>
        <v>-4.8170000000000002</v>
      </c>
      <c r="B360" s="81" t="s">
        <v>415</v>
      </c>
      <c r="C360" t="s">
        <v>411</v>
      </c>
    </row>
    <row r="362" spans="1:5">
      <c r="A362" t="s">
        <v>471</v>
      </c>
    </row>
    <row r="364" spans="1:5">
      <c r="A364" t="s">
        <v>412</v>
      </c>
    </row>
    <row r="366" spans="1:5">
      <c r="A366" s="81">
        <f>-'5.Carichi su travi solaio cop.'!$F$75</f>
        <v>-6.1827500000000004</v>
      </c>
      <c r="B366" t="s">
        <v>415</v>
      </c>
      <c r="C366" s="97">
        <f>-'5.Carichi su travi solaio cop.'!$T$75</f>
        <v>-8.7297559110706153</v>
      </c>
      <c r="E366" t="s">
        <v>406</v>
      </c>
    </row>
    <row r="367" spans="1:5">
      <c r="A367" s="81">
        <f>-'4.Carichi su travi solaio tipo'!$F$75</f>
        <v>-7.8627500000000001</v>
      </c>
      <c r="B367" s="81" t="s">
        <v>415</v>
      </c>
      <c r="C367" s="97">
        <f>-'4.Carichi su travi solaio tipo'!$T$75</f>
        <v>-9.5697559110706152</v>
      </c>
      <c r="D367" s="81"/>
      <c r="E367" t="s">
        <v>407</v>
      </c>
    </row>
    <row r="368" spans="1:5">
      <c r="A368" s="81">
        <f>-'4.Carichi su travi solaio tipo'!$F$75</f>
        <v>-7.8627500000000001</v>
      </c>
      <c r="B368" s="81" t="s">
        <v>415</v>
      </c>
      <c r="C368" s="97">
        <f>-'4.Carichi su travi solaio tipo'!$T$75</f>
        <v>-9.5697559110706152</v>
      </c>
      <c r="D368" s="81"/>
      <c r="E368" t="s">
        <v>408</v>
      </c>
    </row>
    <row r="369" spans="1:5">
      <c r="A369" s="81">
        <f>-'4.Carichi su travi solaio tipo'!$F$75</f>
        <v>-7.8627500000000001</v>
      </c>
      <c r="B369" s="81" t="s">
        <v>415</v>
      </c>
      <c r="C369" s="97">
        <f>-'4.Carichi su travi solaio tipo'!$T$75</f>
        <v>-9.5697559110706152</v>
      </c>
      <c r="D369" s="81"/>
      <c r="E369" t="s">
        <v>409</v>
      </c>
    </row>
    <row r="370" spans="1:5">
      <c r="A370" s="81">
        <f>-'4.Carichi su travi solaio tipo'!$F$75</f>
        <v>-7.8627500000000001</v>
      </c>
      <c r="B370" s="81" t="s">
        <v>415</v>
      </c>
      <c r="C370" s="97">
        <f>-'4.Carichi su travi solaio tipo'!$T$75</f>
        <v>-9.5697559110706152</v>
      </c>
      <c r="D370" s="81"/>
      <c r="E370" t="s">
        <v>410</v>
      </c>
    </row>
    <row r="371" spans="1:5">
      <c r="A371" s="81">
        <f>-'4.Carichi su travi solaio tipo'!$F$75</f>
        <v>-7.8627500000000001</v>
      </c>
      <c r="B371" s="81" t="s">
        <v>415</v>
      </c>
      <c r="C371" s="97">
        <f>-'4.Carichi su travi solaio tipo'!$T$75</f>
        <v>-9.5697559110706152</v>
      </c>
      <c r="D371" s="81"/>
      <c r="E371" t="s">
        <v>411</v>
      </c>
    </row>
    <row r="373" spans="1:5">
      <c r="A373" t="s">
        <v>474</v>
      </c>
    </row>
    <row r="375" spans="1:5">
      <c r="A375" t="s">
        <v>412</v>
      </c>
    </row>
    <row r="377" spans="1:5">
      <c r="A377" s="81">
        <f>-'5.Carichi su travi solaio cop.'!$F$75</f>
        <v>-6.1827500000000004</v>
      </c>
      <c r="B377" t="s">
        <v>415</v>
      </c>
      <c r="C377" s="97">
        <f>-'5.Carichi su travi solaio cop.'!$T$75</f>
        <v>-8.7297559110706153</v>
      </c>
      <c r="E377" t="s">
        <v>406</v>
      </c>
    </row>
    <row r="378" spans="1:5">
      <c r="A378" s="81">
        <f>-'4.Carichi su travi solaio tipo'!$F$75</f>
        <v>-7.8627500000000001</v>
      </c>
      <c r="B378" s="81" t="s">
        <v>415</v>
      </c>
      <c r="C378" s="97">
        <f>-'4.Carichi su travi solaio tipo'!$T$75</f>
        <v>-9.5697559110706152</v>
      </c>
      <c r="D378" s="81"/>
      <c r="E378" t="s">
        <v>407</v>
      </c>
    </row>
    <row r="379" spans="1:5">
      <c r="A379" s="81">
        <f>-'4.Carichi su travi solaio tipo'!$F$75</f>
        <v>-7.8627500000000001</v>
      </c>
      <c r="B379" s="81" t="s">
        <v>415</v>
      </c>
      <c r="C379" s="97">
        <f>-'4.Carichi su travi solaio tipo'!$T$75</f>
        <v>-9.5697559110706152</v>
      </c>
      <c r="D379" s="81"/>
      <c r="E379" t="s">
        <v>408</v>
      </c>
    </row>
    <row r="380" spans="1:5">
      <c r="A380" s="81">
        <f>-'4.Carichi su travi solaio tipo'!$F$75</f>
        <v>-7.8627500000000001</v>
      </c>
      <c r="B380" s="81" t="s">
        <v>415</v>
      </c>
      <c r="C380" s="97">
        <f>-'4.Carichi su travi solaio tipo'!$T$75</f>
        <v>-9.5697559110706152</v>
      </c>
      <c r="D380" s="81"/>
      <c r="E380" t="s">
        <v>409</v>
      </c>
    </row>
    <row r="381" spans="1:5">
      <c r="A381" s="81">
        <f>-'4.Carichi su travi solaio tipo'!$F$75</f>
        <v>-7.8627500000000001</v>
      </c>
      <c r="B381" s="81" t="s">
        <v>415</v>
      </c>
      <c r="C381" s="97">
        <f>-'4.Carichi su travi solaio tipo'!$T$75</f>
        <v>-9.5697559110706152</v>
      </c>
      <c r="D381" s="81"/>
      <c r="E381" t="s">
        <v>410</v>
      </c>
    </row>
    <row r="382" spans="1:5">
      <c r="A382" s="81">
        <f>-'4.Carichi su travi solaio tipo'!$F$75</f>
        <v>-7.8627500000000001</v>
      </c>
      <c r="B382" s="81" t="s">
        <v>415</v>
      </c>
      <c r="C382" s="97">
        <f>-'4.Carichi su travi solaio tipo'!$T$75</f>
        <v>-9.5697559110706152</v>
      </c>
      <c r="D382" s="81"/>
      <c r="E382" t="s">
        <v>411</v>
      </c>
    </row>
    <row r="384" spans="1:5">
      <c r="A384" t="s">
        <v>475</v>
      </c>
    </row>
    <row r="386" spans="1:3">
      <c r="A386" t="s">
        <v>412</v>
      </c>
    </row>
    <row r="388" spans="1:3">
      <c r="A388" s="81">
        <f>-'5.Carichi su travi solaio cop.'!$M$75</f>
        <v>-3.9769999999999999</v>
      </c>
      <c r="B388" t="s">
        <v>415</v>
      </c>
      <c r="C388" t="s">
        <v>406</v>
      </c>
    </row>
    <row r="389" spans="1:3">
      <c r="A389" s="81">
        <f>-'4.Carichi su travi solaio tipo'!$M$75</f>
        <v>-4.8170000000000002</v>
      </c>
      <c r="B389" s="81" t="s">
        <v>415</v>
      </c>
      <c r="C389" t="s">
        <v>407</v>
      </c>
    </row>
    <row r="390" spans="1:3">
      <c r="A390" s="81">
        <f>-'4.Carichi su travi solaio tipo'!$M$75</f>
        <v>-4.8170000000000002</v>
      </c>
      <c r="B390" s="81" t="s">
        <v>415</v>
      </c>
      <c r="C390" t="s">
        <v>408</v>
      </c>
    </row>
    <row r="391" spans="1:3">
      <c r="A391" s="81">
        <f>-'4.Carichi su travi solaio tipo'!$M$75</f>
        <v>-4.8170000000000002</v>
      </c>
      <c r="B391" s="81" t="s">
        <v>415</v>
      </c>
      <c r="C391" t="s">
        <v>409</v>
      </c>
    </row>
    <row r="392" spans="1:3">
      <c r="A392" s="81">
        <f>-'4.Carichi su travi solaio tipo'!$M$75</f>
        <v>-4.8170000000000002</v>
      </c>
      <c r="B392" s="81" t="s">
        <v>415</v>
      </c>
      <c r="C392" t="s">
        <v>410</v>
      </c>
    </row>
    <row r="393" spans="1:3">
      <c r="A393" s="81">
        <f>-'4.Carichi su travi solaio tipo'!$M$75</f>
        <v>-4.8170000000000002</v>
      </c>
      <c r="B393" s="81" t="s">
        <v>415</v>
      </c>
      <c r="C393" t="s">
        <v>411</v>
      </c>
    </row>
    <row r="395" spans="1:3">
      <c r="A395" t="s">
        <v>476</v>
      </c>
    </row>
    <row r="397" spans="1:3">
      <c r="A397" t="s">
        <v>412</v>
      </c>
    </row>
    <row r="399" spans="1:3">
      <c r="A399" s="81">
        <f>-'5.Carichi su travi solaio cop.'!$M$75</f>
        <v>-3.9769999999999999</v>
      </c>
      <c r="B399" t="s">
        <v>415</v>
      </c>
      <c r="C399" t="s">
        <v>406</v>
      </c>
    </row>
    <row r="400" spans="1:3">
      <c r="A400" s="81">
        <f>-'4.Carichi su travi solaio tipo'!$M$75</f>
        <v>-4.8170000000000002</v>
      </c>
      <c r="B400" s="81" t="s">
        <v>415</v>
      </c>
      <c r="C400" t="s">
        <v>407</v>
      </c>
    </row>
    <row r="401" spans="1:7">
      <c r="A401" s="81">
        <f>-'4.Carichi su travi solaio tipo'!$M$75</f>
        <v>-4.8170000000000002</v>
      </c>
      <c r="B401" s="81" t="s">
        <v>415</v>
      </c>
      <c r="C401" t="s">
        <v>408</v>
      </c>
    </row>
    <row r="402" spans="1:7">
      <c r="A402" s="81">
        <f>-'4.Carichi su travi solaio tipo'!$M$75</f>
        <v>-4.8170000000000002</v>
      </c>
      <c r="B402" s="81" t="s">
        <v>415</v>
      </c>
      <c r="C402" t="s">
        <v>409</v>
      </c>
    </row>
    <row r="403" spans="1:7">
      <c r="A403" s="81">
        <f>-'4.Carichi su travi solaio tipo'!$M$75</f>
        <v>-4.8170000000000002</v>
      </c>
      <c r="B403" s="81" t="s">
        <v>415</v>
      </c>
      <c r="C403" t="s">
        <v>410</v>
      </c>
    </row>
    <row r="404" spans="1:7">
      <c r="A404" s="81">
        <f>-'4.Carichi su travi solaio tipo'!$M$75</f>
        <v>-4.8170000000000002</v>
      </c>
      <c r="B404" s="81" t="s">
        <v>415</v>
      </c>
      <c r="C404" t="s">
        <v>411</v>
      </c>
    </row>
    <row r="406" spans="1:7">
      <c r="A406" t="s">
        <v>477</v>
      </c>
    </row>
    <row r="408" spans="1:7">
      <c r="A408" t="s">
        <v>412</v>
      </c>
    </row>
    <row r="410" spans="1:7">
      <c r="A410" s="81">
        <f>-'5.Carichi su travi solaio cop.'!$F$75</f>
        <v>-6.1827500000000004</v>
      </c>
      <c r="B410" t="s">
        <v>415</v>
      </c>
      <c r="C410" s="81">
        <f>-'5.Carichi su travi solaio cop.'!$F$75</f>
        <v>-6.1827500000000004</v>
      </c>
      <c r="E410" t="s">
        <v>406</v>
      </c>
      <c r="G410" s="81"/>
    </row>
    <row r="411" spans="1:7">
      <c r="A411" s="81">
        <f>-'4.Carichi su travi solaio tipo'!$F$75</f>
        <v>-7.8627500000000001</v>
      </c>
      <c r="B411" s="81" t="s">
        <v>415</v>
      </c>
      <c r="C411" s="81">
        <f>-'4.Carichi su travi solaio tipo'!$F$75</f>
        <v>-7.8627500000000001</v>
      </c>
      <c r="E411" t="s">
        <v>407</v>
      </c>
      <c r="G411" s="81"/>
    </row>
    <row r="412" spans="1:7">
      <c r="A412" s="81">
        <f>-'4.Carichi su travi solaio tipo'!$F$75</f>
        <v>-7.8627500000000001</v>
      </c>
      <c r="B412" s="81" t="s">
        <v>415</v>
      </c>
      <c r="C412" s="81">
        <f>-'4.Carichi su travi solaio tipo'!$F$75</f>
        <v>-7.8627500000000001</v>
      </c>
      <c r="E412" t="s">
        <v>408</v>
      </c>
      <c r="G412" s="81"/>
    </row>
    <row r="413" spans="1:7">
      <c r="A413" s="81">
        <f>-'4.Carichi su travi solaio tipo'!$F$75</f>
        <v>-7.8627500000000001</v>
      </c>
      <c r="B413" s="81" t="s">
        <v>415</v>
      </c>
      <c r="C413" s="81">
        <f>-'4.Carichi su travi solaio tipo'!$F$75</f>
        <v>-7.8627500000000001</v>
      </c>
      <c r="E413" t="s">
        <v>409</v>
      </c>
      <c r="G413" s="81"/>
    </row>
    <row r="414" spans="1:7">
      <c r="A414" s="81">
        <f>-'4.Carichi su travi solaio tipo'!$F$75</f>
        <v>-7.8627500000000001</v>
      </c>
      <c r="B414" s="81" t="s">
        <v>415</v>
      </c>
      <c r="C414" s="81">
        <f>-'4.Carichi su travi solaio tipo'!$F$75</f>
        <v>-7.8627500000000001</v>
      </c>
      <c r="E414" t="s">
        <v>410</v>
      </c>
      <c r="G414" s="81"/>
    </row>
    <row r="415" spans="1:7">
      <c r="A415" s="81">
        <f>-'4.Carichi su travi solaio tipo'!$F$75</f>
        <v>-7.8627500000000001</v>
      </c>
      <c r="B415" s="81" t="s">
        <v>415</v>
      </c>
      <c r="C415" s="81">
        <f>-'4.Carichi su travi solaio tipo'!$F$75</f>
        <v>-7.8627500000000001</v>
      </c>
      <c r="E415" t="s">
        <v>411</v>
      </c>
      <c r="G415" s="81"/>
    </row>
    <row r="417" spans="1:11">
      <c r="A417" t="s">
        <v>478</v>
      </c>
    </row>
    <row r="419" spans="1:11">
      <c r="A419" t="s">
        <v>412</v>
      </c>
    </row>
    <row r="421" spans="1:11">
      <c r="A421" s="81">
        <f>-'5.Carichi su travi solaio cop.'!$G$87</f>
        <v>-22.534050000000004</v>
      </c>
      <c r="B421" t="s">
        <v>415</v>
      </c>
      <c r="C421" s="81">
        <f>-'5.Carichi su travi solaio cop.'!$G$87</f>
        <v>-22.534050000000004</v>
      </c>
      <c r="D421" t="s">
        <v>415</v>
      </c>
      <c r="E421" s="81">
        <f>-'5.Carichi su travi solaio cop.'!$G$87</f>
        <v>-22.534050000000004</v>
      </c>
      <c r="F421" t="s">
        <v>415</v>
      </c>
      <c r="G421" s="81">
        <f>-'5.Carichi su travi solaio cop.'!$G$87</f>
        <v>-22.534050000000004</v>
      </c>
      <c r="I421" t="s">
        <v>406</v>
      </c>
      <c r="K421" s="81"/>
    </row>
    <row r="422" spans="1:11">
      <c r="A422" s="81">
        <f>-'4.Carichi su travi solaio tipo'!$G$87</f>
        <v>-29.194050000000004</v>
      </c>
      <c r="B422" s="81" t="s">
        <v>415</v>
      </c>
      <c r="C422" s="81">
        <f>-'4.Carichi su travi solaio tipo'!$G$87</f>
        <v>-29.194050000000004</v>
      </c>
      <c r="D422" s="81" t="s">
        <v>415</v>
      </c>
      <c r="E422" s="81">
        <f>-'4.Carichi su travi solaio tipo'!$G$87</f>
        <v>-29.194050000000004</v>
      </c>
      <c r="F422" t="s">
        <v>415</v>
      </c>
      <c r="G422" s="81">
        <f>-'4.Carichi su travi solaio tipo'!$G$87</f>
        <v>-29.194050000000004</v>
      </c>
      <c r="I422" t="s">
        <v>407</v>
      </c>
      <c r="J422" s="81"/>
      <c r="K422" s="81"/>
    </row>
    <row r="423" spans="1:11">
      <c r="A423" s="81">
        <f>-'4.Carichi su travi solaio tipo'!$G$87</f>
        <v>-29.194050000000004</v>
      </c>
      <c r="B423" s="81" t="s">
        <v>415</v>
      </c>
      <c r="C423" s="81">
        <f>-'4.Carichi su travi solaio tipo'!$G$87</f>
        <v>-29.194050000000004</v>
      </c>
      <c r="D423" s="81" t="s">
        <v>415</v>
      </c>
      <c r="E423" s="81">
        <f>-'4.Carichi su travi solaio tipo'!$G$87</f>
        <v>-29.194050000000004</v>
      </c>
      <c r="F423" t="s">
        <v>415</v>
      </c>
      <c r="G423" s="81">
        <f>-'4.Carichi su travi solaio tipo'!$G$87</f>
        <v>-29.194050000000004</v>
      </c>
      <c r="I423" t="s">
        <v>408</v>
      </c>
      <c r="J423" s="81"/>
      <c r="K423" s="81"/>
    </row>
    <row r="424" spans="1:11">
      <c r="A424" s="81">
        <f>-'4.Carichi su travi solaio tipo'!$G$87</f>
        <v>-29.194050000000004</v>
      </c>
      <c r="B424" s="81" t="s">
        <v>415</v>
      </c>
      <c r="C424" s="81">
        <f>-'4.Carichi su travi solaio tipo'!$G$87</f>
        <v>-29.194050000000004</v>
      </c>
      <c r="D424" s="81" t="s">
        <v>415</v>
      </c>
      <c r="E424" s="81">
        <f>-'4.Carichi su travi solaio tipo'!$G$87</f>
        <v>-29.194050000000004</v>
      </c>
      <c r="F424" t="s">
        <v>415</v>
      </c>
      <c r="G424" s="81">
        <f>-'4.Carichi su travi solaio tipo'!$G$87</f>
        <v>-29.194050000000004</v>
      </c>
      <c r="I424" t="s">
        <v>409</v>
      </c>
      <c r="J424" s="81"/>
      <c r="K424" s="81"/>
    </row>
    <row r="425" spans="1:11">
      <c r="A425" s="81">
        <f>-'4.Carichi su travi solaio tipo'!$G$87</f>
        <v>-29.194050000000004</v>
      </c>
      <c r="B425" s="81" t="s">
        <v>415</v>
      </c>
      <c r="C425" s="81">
        <f>-'4.Carichi su travi solaio tipo'!$G$87</f>
        <v>-29.194050000000004</v>
      </c>
      <c r="D425" s="81" t="s">
        <v>415</v>
      </c>
      <c r="E425" s="81">
        <f>-'4.Carichi su travi solaio tipo'!$G$87</f>
        <v>-29.194050000000004</v>
      </c>
      <c r="F425" t="s">
        <v>415</v>
      </c>
      <c r="G425" s="81">
        <f>-'4.Carichi su travi solaio tipo'!$G$87</f>
        <v>-29.194050000000004</v>
      </c>
      <c r="I425" t="s">
        <v>410</v>
      </c>
      <c r="J425" s="81"/>
      <c r="K425" s="81"/>
    </row>
    <row r="426" spans="1:11">
      <c r="A426" s="81">
        <f>-'4.Carichi su travi solaio tipo'!$G$87</f>
        <v>-29.194050000000004</v>
      </c>
      <c r="B426" s="81" t="s">
        <v>415</v>
      </c>
      <c r="C426" s="81">
        <f>-'4.Carichi su travi solaio tipo'!$G$87</f>
        <v>-29.194050000000004</v>
      </c>
      <c r="D426" s="81" t="s">
        <v>415</v>
      </c>
      <c r="E426" s="81">
        <f>-'4.Carichi su travi solaio tipo'!$G$87</f>
        <v>-29.194050000000004</v>
      </c>
      <c r="F426" t="s">
        <v>415</v>
      </c>
      <c r="G426" s="81">
        <f>-'4.Carichi su travi solaio tipo'!$G$87</f>
        <v>-29.194050000000004</v>
      </c>
      <c r="I426" t="s">
        <v>411</v>
      </c>
      <c r="J426" s="81"/>
      <c r="K426" s="81"/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U193"/>
  <sheetViews>
    <sheetView topLeftCell="A101" zoomScale="90" zoomScaleNormal="90" workbookViewId="0">
      <selection activeCell="L122" sqref="L122:U123"/>
    </sheetView>
  </sheetViews>
  <sheetFormatPr defaultRowHeight="15"/>
  <cols>
    <col min="1" max="1" width="3.7109375" customWidth="1"/>
    <col min="2" max="2" width="15.42578125" customWidth="1"/>
    <col min="6" max="6" width="8.5703125" customWidth="1"/>
    <col min="10" max="10" width="12.28515625" customWidth="1"/>
    <col min="11" max="11" width="11.42578125" customWidth="1"/>
    <col min="12" max="12" width="4" customWidth="1"/>
    <col min="13" max="13" width="17.7109375" customWidth="1"/>
    <col min="21" max="21" width="10.7109375" customWidth="1"/>
  </cols>
  <sheetData>
    <row r="1" spans="1:21">
      <c r="A1" s="380" t="s">
        <v>152</v>
      </c>
      <c r="B1" s="381"/>
      <c r="C1" s="381"/>
      <c r="D1" s="381"/>
      <c r="E1" s="381"/>
      <c r="F1" s="381"/>
      <c r="G1" s="381"/>
      <c r="H1" s="381"/>
      <c r="I1" s="381"/>
      <c r="J1" s="382"/>
      <c r="L1" s="380" t="s">
        <v>151</v>
      </c>
      <c r="M1" s="381"/>
      <c r="N1" s="381"/>
      <c r="O1" s="381"/>
      <c r="P1" s="381"/>
      <c r="Q1" s="381"/>
      <c r="R1" s="381"/>
      <c r="S1" s="381"/>
      <c r="T1" s="381"/>
      <c r="U1" s="382"/>
    </row>
    <row r="2" spans="1:21" ht="6.75" customHeight="1">
      <c r="A2" s="383"/>
      <c r="B2" s="384"/>
      <c r="C2" s="384"/>
      <c r="D2" s="384"/>
      <c r="E2" s="384"/>
      <c r="F2" s="384"/>
      <c r="G2" s="384"/>
      <c r="H2" s="384"/>
      <c r="I2" s="384"/>
      <c r="J2" s="385"/>
      <c r="L2" s="383"/>
      <c r="M2" s="384"/>
      <c r="N2" s="384"/>
      <c r="O2" s="384"/>
      <c r="P2" s="384"/>
      <c r="Q2" s="384"/>
      <c r="R2" s="384"/>
      <c r="S2" s="384"/>
      <c r="T2" s="384"/>
      <c r="U2" s="385"/>
    </row>
    <row r="3" spans="1:21">
      <c r="A3" s="38"/>
      <c r="B3" s="31"/>
      <c r="C3" s="325" t="s">
        <v>149</v>
      </c>
      <c r="D3" s="325"/>
      <c r="E3" s="31"/>
      <c r="F3" s="31"/>
      <c r="G3" s="325" t="s">
        <v>148</v>
      </c>
      <c r="H3" s="325"/>
      <c r="I3" s="31"/>
      <c r="J3" s="32"/>
      <c r="L3" s="38"/>
      <c r="M3" s="31"/>
      <c r="N3" s="325" t="s">
        <v>213</v>
      </c>
      <c r="O3" s="325"/>
      <c r="P3" s="31"/>
      <c r="Q3" s="325" t="s">
        <v>214</v>
      </c>
      <c r="R3" s="325"/>
      <c r="T3" s="325" t="s">
        <v>109</v>
      </c>
      <c r="U3" s="336"/>
    </row>
    <row r="4" spans="1:21" ht="15" customHeight="1">
      <c r="A4" s="392" t="s">
        <v>147</v>
      </c>
      <c r="B4" s="31" t="s">
        <v>146</v>
      </c>
      <c r="C4" s="33">
        <v>5</v>
      </c>
      <c r="D4" s="63">
        <f>C4/2</f>
        <v>2.5</v>
      </c>
      <c r="E4" s="31" t="s">
        <v>34</v>
      </c>
      <c r="F4" s="31" t="s">
        <v>145</v>
      </c>
      <c r="G4" s="33">
        <v>6.4</v>
      </c>
      <c r="H4" s="63">
        <f>G4/2</f>
        <v>3.2</v>
      </c>
      <c r="I4" s="31" t="s">
        <v>34</v>
      </c>
      <c r="J4" s="32"/>
      <c r="L4" s="392" t="s">
        <v>147</v>
      </c>
      <c r="M4" s="117" t="s">
        <v>215</v>
      </c>
      <c r="N4" s="33"/>
      <c r="O4" s="63">
        <v>2</v>
      </c>
      <c r="P4" s="117" t="s">
        <v>217</v>
      </c>
      <c r="T4" s="63" t="s">
        <v>120</v>
      </c>
      <c r="U4" s="32" t="s">
        <v>34</v>
      </c>
    </row>
    <row r="5" spans="1:21">
      <c r="A5" s="392"/>
      <c r="B5" s="31" t="s">
        <v>144</v>
      </c>
      <c r="C5" s="33">
        <v>1.85</v>
      </c>
      <c r="D5" s="63">
        <f>C5</f>
        <v>1.85</v>
      </c>
      <c r="E5" s="31" t="s">
        <v>34</v>
      </c>
      <c r="F5" s="31" t="s">
        <v>143</v>
      </c>
      <c r="G5" s="33">
        <v>1.85</v>
      </c>
      <c r="H5" s="63">
        <f>G5</f>
        <v>1.85</v>
      </c>
      <c r="I5" s="31" t="s">
        <v>34</v>
      </c>
      <c r="J5" s="32"/>
      <c r="L5" s="392"/>
      <c r="M5" s="117" t="s">
        <v>216</v>
      </c>
      <c r="N5" s="33">
        <v>1.85</v>
      </c>
      <c r="O5" s="63">
        <f>N5</f>
        <v>1.85</v>
      </c>
      <c r="P5" s="117" t="s">
        <v>218</v>
      </c>
      <c r="Q5" s="33">
        <v>6.4</v>
      </c>
      <c r="R5" s="63">
        <f>Q5/2</f>
        <v>3.2</v>
      </c>
      <c r="T5" s="31"/>
      <c r="U5" s="32"/>
    </row>
    <row r="6" spans="1:21" ht="9" customHeight="1">
      <c r="A6" s="38"/>
      <c r="B6" s="31"/>
      <c r="C6" s="31"/>
      <c r="D6" s="31"/>
      <c r="E6" s="31"/>
      <c r="F6" s="31"/>
      <c r="G6" s="31"/>
      <c r="H6" s="31"/>
      <c r="I6" s="31"/>
      <c r="J6" s="32"/>
      <c r="L6" s="38"/>
      <c r="M6" s="31"/>
      <c r="N6" s="31"/>
      <c r="O6" s="31"/>
      <c r="P6" s="31"/>
      <c r="Q6" s="31"/>
      <c r="R6" s="31"/>
      <c r="U6" s="32"/>
    </row>
    <row r="7" spans="1:21" ht="15" customHeight="1">
      <c r="A7" s="399" t="s">
        <v>115</v>
      </c>
      <c r="B7" s="329" t="s">
        <v>204</v>
      </c>
      <c r="C7" s="329"/>
      <c r="D7" s="329"/>
      <c r="E7" s="99">
        <v>1</v>
      </c>
      <c r="F7" s="51"/>
      <c r="G7" s="51"/>
      <c r="H7" s="51"/>
      <c r="I7" s="51"/>
      <c r="J7" s="50"/>
      <c r="L7" s="399" t="s">
        <v>115</v>
      </c>
      <c r="M7" s="329" t="s">
        <v>204</v>
      </c>
      <c r="N7" s="329"/>
      <c r="O7" s="329"/>
      <c r="P7" s="99">
        <v>1</v>
      </c>
      <c r="Q7" s="51"/>
      <c r="R7" s="51"/>
      <c r="S7" s="51"/>
      <c r="T7" s="51"/>
      <c r="U7" s="50"/>
    </row>
    <row r="8" spans="1:21">
      <c r="A8" s="399"/>
      <c r="B8" s="329"/>
      <c r="C8" s="329"/>
      <c r="D8" s="329"/>
      <c r="E8" s="99">
        <v>1.1000000000000001</v>
      </c>
      <c r="F8" s="51"/>
      <c r="G8" s="51"/>
      <c r="H8" s="51"/>
      <c r="I8" s="51"/>
      <c r="J8" s="50"/>
      <c r="L8" s="399"/>
      <c r="M8" s="329"/>
      <c r="N8" s="329"/>
      <c r="O8" s="329"/>
      <c r="P8" s="99">
        <v>1.1000000000000001</v>
      </c>
      <c r="Q8" s="51"/>
      <c r="R8" s="51"/>
      <c r="S8" s="51"/>
      <c r="T8" s="51"/>
      <c r="U8" s="50"/>
    </row>
    <row r="9" spans="1:21">
      <c r="A9" s="399"/>
      <c r="B9" s="329"/>
      <c r="C9" s="329"/>
      <c r="D9" s="329"/>
      <c r="E9" s="99">
        <v>1.2</v>
      </c>
      <c r="F9" s="51"/>
      <c r="G9" s="51"/>
      <c r="H9" s="51"/>
      <c r="I9" s="51"/>
      <c r="J9" s="50"/>
      <c r="L9" s="399"/>
      <c r="M9" s="329"/>
      <c r="N9" s="329"/>
      <c r="O9" s="329"/>
      <c r="P9" s="99">
        <v>1.2</v>
      </c>
      <c r="Q9" s="51"/>
      <c r="R9" s="51"/>
      <c r="S9" s="51"/>
      <c r="T9" s="51"/>
      <c r="U9" s="50"/>
    </row>
    <row r="10" spans="1:21">
      <c r="A10" s="38"/>
      <c r="B10" s="31"/>
      <c r="C10" s="31"/>
      <c r="D10" s="31"/>
      <c r="E10" s="31"/>
      <c r="F10" s="31"/>
      <c r="G10" s="31"/>
      <c r="H10" s="31"/>
      <c r="I10" s="31"/>
      <c r="J10" s="32"/>
      <c r="L10" s="38"/>
      <c r="M10" s="31"/>
      <c r="N10" s="31"/>
      <c r="O10" s="31"/>
      <c r="P10" s="31"/>
      <c r="Q10" s="31"/>
      <c r="R10" s="31"/>
      <c r="S10" s="31"/>
      <c r="T10" s="31"/>
      <c r="U10" s="32"/>
    </row>
    <row r="11" spans="1:21" ht="34.5" customHeight="1">
      <c r="A11" s="38"/>
      <c r="B11" s="379" t="s">
        <v>142</v>
      </c>
      <c r="C11" s="379"/>
      <c r="D11" s="109"/>
      <c r="E11" s="73" t="s">
        <v>140</v>
      </c>
      <c r="F11" s="74" t="s">
        <v>141</v>
      </c>
      <c r="G11" s="113" t="s">
        <v>207</v>
      </c>
      <c r="H11" s="73" t="s">
        <v>140</v>
      </c>
      <c r="I11" s="89" t="s">
        <v>205</v>
      </c>
      <c r="J11" s="110" t="s">
        <v>181</v>
      </c>
      <c r="L11" s="38"/>
      <c r="M11" s="379" t="s">
        <v>142</v>
      </c>
      <c r="N11" s="379"/>
      <c r="O11" s="109"/>
      <c r="P11" s="73" t="s">
        <v>140</v>
      </c>
      <c r="Q11" s="74" t="s">
        <v>141</v>
      </c>
      <c r="R11" s="113" t="s">
        <v>207</v>
      </c>
      <c r="S11" s="73" t="s">
        <v>140</v>
      </c>
      <c r="T11" s="89" t="s">
        <v>205</v>
      </c>
      <c r="U11" s="110" t="s">
        <v>181</v>
      </c>
    </row>
    <row r="12" spans="1:21" ht="17.25">
      <c r="A12" s="38"/>
      <c r="B12" s="318" t="s">
        <v>139</v>
      </c>
      <c r="C12" s="318"/>
      <c r="D12" s="108">
        <f>(E7*D4)*(E7*H4)</f>
        <v>8</v>
      </c>
      <c r="E12" s="114" t="s">
        <v>208</v>
      </c>
      <c r="F12" s="33">
        <f>'3.Riepilogo carichi unitari'!$H$4</f>
        <v>10.37895</v>
      </c>
      <c r="G12" s="33">
        <f>'3.Riepilogo carichi unitari'!$J$4</f>
        <v>6.0914999999999999</v>
      </c>
      <c r="H12" s="62" t="s">
        <v>209</v>
      </c>
      <c r="I12" s="61">
        <f>D12*F12</f>
        <v>83.031599999999997</v>
      </c>
      <c r="J12" s="111">
        <f>D12*G12</f>
        <v>48.731999999999999</v>
      </c>
      <c r="L12" s="38"/>
      <c r="M12" s="318" t="s">
        <v>139</v>
      </c>
      <c r="N12" s="318"/>
      <c r="O12" s="108">
        <f>(P7*O4)*(P7*R5)</f>
        <v>6.4</v>
      </c>
      <c r="P12" s="114" t="s">
        <v>208</v>
      </c>
      <c r="Q12" s="33">
        <f>'3.Riepilogo carichi unitari'!$H$4</f>
        <v>10.37895</v>
      </c>
      <c r="R12" s="33">
        <f>'3.Riepilogo carichi unitari'!$J$4</f>
        <v>6.0914999999999999</v>
      </c>
      <c r="S12" s="62" t="s">
        <v>209</v>
      </c>
      <c r="T12" s="61">
        <f>O12*Q12</f>
        <v>66.425280000000001</v>
      </c>
      <c r="U12" s="111">
        <f>O12*R12</f>
        <v>38.985600000000005</v>
      </c>
    </row>
    <row r="13" spans="1:21" ht="17.25">
      <c r="A13" s="38"/>
      <c r="B13" s="318" t="s">
        <v>138</v>
      </c>
      <c r="C13" s="318"/>
      <c r="D13" s="33">
        <f>((D4*H5)+(D5*H4))</f>
        <v>10.545000000000002</v>
      </c>
      <c r="E13" s="73" t="s">
        <v>208</v>
      </c>
      <c r="F13" s="33">
        <f>'3.Riepilogo carichi unitari'!$H$7</f>
        <v>10.95495</v>
      </c>
      <c r="G13" s="33">
        <f>'3.Riepilogo carichi unitari'!$J$7</f>
        <v>6.2115000000000009</v>
      </c>
      <c r="H13" s="62" t="s">
        <v>209</v>
      </c>
      <c r="I13" s="61">
        <f>D13*F13</f>
        <v>115.51994775000001</v>
      </c>
      <c r="J13" s="111">
        <f>D13*G13</f>
        <v>65.500267500000021</v>
      </c>
      <c r="L13" s="38"/>
      <c r="M13" s="318" t="s">
        <v>138</v>
      </c>
      <c r="N13" s="318"/>
      <c r="O13" s="33">
        <f>O5*R5</f>
        <v>5.9200000000000008</v>
      </c>
      <c r="P13" s="73" t="s">
        <v>208</v>
      </c>
      <c r="Q13" s="33">
        <f>'3.Riepilogo carichi unitari'!$H$7</f>
        <v>10.95495</v>
      </c>
      <c r="R13" s="33">
        <f>'3.Riepilogo carichi unitari'!$J$7</f>
        <v>6.2115000000000009</v>
      </c>
      <c r="S13" s="62" t="s">
        <v>209</v>
      </c>
      <c r="T13" s="61">
        <f>O13*Q13</f>
        <v>64.853304000000009</v>
      </c>
      <c r="U13" s="111">
        <f>O13*R13</f>
        <v>36.77208000000001</v>
      </c>
    </row>
    <row r="14" spans="1:21" ht="17.25">
      <c r="A14" s="38"/>
      <c r="B14" s="318" t="s">
        <v>137</v>
      </c>
      <c r="C14" s="318"/>
      <c r="D14" s="33">
        <f>D5*H5</f>
        <v>3.4225000000000003</v>
      </c>
      <c r="E14" s="73" t="s">
        <v>208</v>
      </c>
      <c r="F14" s="33">
        <f>'3.Riepilogo carichi unitari'!$H$7</f>
        <v>10.95495</v>
      </c>
      <c r="G14" s="33">
        <f>'3.Riepilogo carichi unitari'!$J$7</f>
        <v>6.2115000000000009</v>
      </c>
      <c r="H14" s="62" t="s">
        <v>209</v>
      </c>
      <c r="I14" s="61">
        <f>D14*F14</f>
        <v>37.493316375000006</v>
      </c>
      <c r="J14" s="111">
        <f>D14*G14</f>
        <v>21.258858750000005</v>
      </c>
      <c r="L14" s="38"/>
      <c r="M14" s="318" t="s">
        <v>137</v>
      </c>
      <c r="N14" s="318"/>
      <c r="O14" s="33"/>
      <c r="P14" s="73" t="s">
        <v>208</v>
      </c>
      <c r="Q14" s="33">
        <f>'3.Riepilogo carichi unitari'!$H$7</f>
        <v>10.95495</v>
      </c>
      <c r="R14" s="33">
        <f>'3.Riepilogo carichi unitari'!$J$7</f>
        <v>6.2115000000000009</v>
      </c>
      <c r="S14" s="62" t="s">
        <v>209</v>
      </c>
      <c r="T14" s="61"/>
      <c r="U14" s="111"/>
    </row>
    <row r="15" spans="1:21" ht="17.25">
      <c r="A15" s="38"/>
      <c r="B15" s="318" t="s">
        <v>136</v>
      </c>
      <c r="C15" s="318"/>
      <c r="D15" s="33"/>
      <c r="E15" s="73" t="s">
        <v>208</v>
      </c>
      <c r="F15" s="33">
        <f>'3.Riepilogo carichi unitari'!$H$8</f>
        <v>15.237165368783602</v>
      </c>
      <c r="G15" s="33">
        <f>'3.Riepilogo carichi unitari'!$J$8</f>
        <v>9.5055118221412318</v>
      </c>
      <c r="H15" s="62" t="s">
        <v>210</v>
      </c>
      <c r="I15" s="61"/>
      <c r="J15" s="111"/>
      <c r="L15" s="38"/>
      <c r="M15" s="318" t="s">
        <v>136</v>
      </c>
      <c r="N15" s="318"/>
      <c r="O15" s="33"/>
      <c r="P15" s="73" t="s">
        <v>208</v>
      </c>
      <c r="Q15" s="33">
        <f>'3.Riepilogo carichi unitari'!$H$8</f>
        <v>15.237165368783602</v>
      </c>
      <c r="R15" s="33">
        <f>'3.Riepilogo carichi unitari'!$J$8</f>
        <v>9.5055118221412318</v>
      </c>
      <c r="S15" s="62" t="s">
        <v>210</v>
      </c>
      <c r="T15" s="61"/>
      <c r="U15" s="111"/>
    </row>
    <row r="16" spans="1:21">
      <c r="A16" s="38"/>
      <c r="B16" s="318" t="s">
        <v>123</v>
      </c>
      <c r="C16" s="318"/>
      <c r="D16" s="33">
        <f>(E7*H4)+(E7*(D4+0.15))</f>
        <v>5.85</v>
      </c>
      <c r="E16" s="73" t="s">
        <v>34</v>
      </c>
      <c r="F16" s="33">
        <f>'3.Riepilogo carichi unitari'!$H$11</f>
        <v>7.8416000000000015</v>
      </c>
      <c r="G16" s="33">
        <f>'3.Riepilogo carichi unitari'!$J$11</f>
        <v>6.0320000000000009</v>
      </c>
      <c r="H16" s="62" t="s">
        <v>102</v>
      </c>
      <c r="I16" s="61">
        <f t="shared" ref="I16:I17" si="0">D16*F16</f>
        <v>45.873360000000005</v>
      </c>
      <c r="J16" s="111">
        <f t="shared" ref="J16:J17" si="1">D16*G16</f>
        <v>35.287200000000006</v>
      </c>
      <c r="L16" s="38"/>
      <c r="M16" s="318" t="s">
        <v>123</v>
      </c>
      <c r="N16" s="318"/>
      <c r="O16" s="33">
        <f>(P7*(2.5)/2)+(P7*R5)</f>
        <v>4.45</v>
      </c>
      <c r="P16" s="73" t="s">
        <v>34</v>
      </c>
      <c r="Q16" s="33">
        <f>'3.Riepilogo carichi unitari'!$H$11</f>
        <v>7.8416000000000015</v>
      </c>
      <c r="R16" s="33">
        <f>'3.Riepilogo carichi unitari'!$J$11</f>
        <v>6.0320000000000009</v>
      </c>
      <c r="S16" s="62" t="s">
        <v>102</v>
      </c>
      <c r="T16" s="61">
        <f t="shared" ref="T16:T17" si="2">O16*Q16</f>
        <v>34.895120000000006</v>
      </c>
      <c r="U16" s="111">
        <f t="shared" ref="U16:U17" si="3">O16*R16</f>
        <v>26.842400000000005</v>
      </c>
    </row>
    <row r="17" spans="1:21">
      <c r="A17" s="38"/>
      <c r="B17" s="318" t="s">
        <v>135</v>
      </c>
      <c r="C17" s="318"/>
      <c r="D17" s="33">
        <f>(E7*H4)+(E7*(D4+0.15))</f>
        <v>5.85</v>
      </c>
      <c r="E17" s="73" t="s">
        <v>34</v>
      </c>
      <c r="F17" s="33">
        <f>'3.Riepilogo carichi unitari'!$H$9</f>
        <v>5.184075</v>
      </c>
      <c r="G17" s="33">
        <f>'3.Riepilogo carichi unitari'!$J$9</f>
        <v>3.9877500000000001</v>
      </c>
      <c r="H17" s="62" t="s">
        <v>102</v>
      </c>
      <c r="I17" s="61">
        <f t="shared" si="0"/>
        <v>30.326838749999997</v>
      </c>
      <c r="J17" s="111">
        <f t="shared" si="1"/>
        <v>23.3283375</v>
      </c>
      <c r="L17" s="38"/>
      <c r="M17" s="318" t="s">
        <v>135</v>
      </c>
      <c r="N17" s="318"/>
      <c r="O17" s="33">
        <f>(P7*(2.5)/2)+(P7*R5)</f>
        <v>4.45</v>
      </c>
      <c r="P17" s="73" t="s">
        <v>34</v>
      </c>
      <c r="Q17" s="33">
        <f>'3.Riepilogo carichi unitari'!$H$9</f>
        <v>5.184075</v>
      </c>
      <c r="R17" s="33">
        <f>'3.Riepilogo carichi unitari'!$J$9</f>
        <v>3.9877500000000001</v>
      </c>
      <c r="S17" s="62" t="s">
        <v>102</v>
      </c>
      <c r="T17" s="61">
        <f t="shared" si="2"/>
        <v>23.069133750000002</v>
      </c>
      <c r="U17" s="111">
        <f t="shared" si="3"/>
        <v>17.745487500000003</v>
      </c>
    </row>
    <row r="18" spans="1:21">
      <c r="A18" s="38"/>
      <c r="B18" s="318" t="s">
        <v>134</v>
      </c>
      <c r="C18" s="318"/>
      <c r="D18" s="33"/>
      <c r="E18" s="73" t="s">
        <v>34</v>
      </c>
      <c r="F18" s="33">
        <f>'3.Riepilogo carichi unitari'!$H$10</f>
        <v>2.3026249999999999</v>
      </c>
      <c r="G18" s="33">
        <f>'3.Riepilogo carichi unitari'!$J$10</f>
        <v>1.7712499999999998</v>
      </c>
      <c r="H18" s="62" t="s">
        <v>102</v>
      </c>
      <c r="I18" s="61"/>
      <c r="J18" s="111"/>
      <c r="L18" s="38"/>
      <c r="M18" s="318" t="s">
        <v>134</v>
      </c>
      <c r="N18" s="318"/>
      <c r="O18" s="33"/>
      <c r="P18" s="73" t="s">
        <v>34</v>
      </c>
      <c r="Q18" s="33">
        <f>'3.Riepilogo carichi unitari'!$H$10</f>
        <v>2.3026249999999999</v>
      </c>
      <c r="R18" s="33">
        <f>'3.Riepilogo carichi unitari'!$J$10</f>
        <v>1.7712499999999998</v>
      </c>
      <c r="S18" s="62" t="s">
        <v>102</v>
      </c>
      <c r="T18" s="61"/>
      <c r="U18" s="111"/>
    </row>
    <row r="19" spans="1:21">
      <c r="A19" s="38"/>
      <c r="B19" s="328" t="s">
        <v>133</v>
      </c>
      <c r="C19" s="328"/>
      <c r="D19" s="325"/>
      <c r="E19" s="325"/>
      <c r="F19" s="325"/>
      <c r="G19" s="325"/>
      <c r="H19" s="325"/>
      <c r="I19" s="61">
        <f>SUM(I12:I18)</f>
        <v>312.24506287499997</v>
      </c>
      <c r="J19" s="111">
        <f>SUM(J12:J18)</f>
        <v>194.10666375000005</v>
      </c>
      <c r="L19" s="38"/>
      <c r="M19" s="328" t="s">
        <v>133</v>
      </c>
      <c r="N19" s="328"/>
      <c r="O19" s="325"/>
      <c r="P19" s="325"/>
      <c r="Q19" s="325"/>
      <c r="R19" s="325"/>
      <c r="S19" s="325"/>
      <c r="T19" s="61">
        <f>SUM(T12:T18)</f>
        <v>189.24283775000004</v>
      </c>
      <c r="U19" s="111">
        <f>SUM(U12:U18)</f>
        <v>120.34556750000002</v>
      </c>
    </row>
    <row r="20" spans="1:21" ht="20.25" customHeight="1">
      <c r="A20" s="38"/>
      <c r="B20" s="31"/>
      <c r="C20" s="31"/>
      <c r="D20" s="31"/>
      <c r="E20" s="31"/>
      <c r="F20" s="393" t="s">
        <v>186</v>
      </c>
      <c r="G20" s="394"/>
      <c r="H20" s="393" t="s">
        <v>178</v>
      </c>
      <c r="I20" s="394"/>
      <c r="J20" s="32"/>
      <c r="L20" s="38"/>
      <c r="M20" s="31"/>
      <c r="N20" s="31"/>
      <c r="O20" s="31"/>
      <c r="P20" s="31"/>
      <c r="Q20" s="393" t="s">
        <v>186</v>
      </c>
      <c r="R20" s="394"/>
      <c r="S20" s="393" t="s">
        <v>178</v>
      </c>
      <c r="T20" s="394"/>
      <c r="U20" s="32"/>
    </row>
    <row r="21" spans="1:21">
      <c r="A21" s="330" t="s">
        <v>212</v>
      </c>
      <c r="B21" s="395"/>
      <c r="C21" s="395"/>
      <c r="D21" s="395"/>
      <c r="E21" s="395"/>
      <c r="F21" s="61">
        <f>I19</f>
        <v>312.24506287499997</v>
      </c>
      <c r="G21" s="15" t="s">
        <v>132</v>
      </c>
      <c r="H21" s="61">
        <f>J19</f>
        <v>194.10666375000005</v>
      </c>
      <c r="I21" s="74" t="s">
        <v>132</v>
      </c>
      <c r="J21" s="115"/>
      <c r="L21" s="330" t="s">
        <v>212</v>
      </c>
      <c r="M21" s="395"/>
      <c r="N21" s="395"/>
      <c r="O21" s="395"/>
      <c r="P21" s="395"/>
      <c r="Q21" s="61">
        <f>T19</f>
        <v>189.24283775000004</v>
      </c>
      <c r="R21" s="74" t="s">
        <v>132</v>
      </c>
      <c r="S21" s="61">
        <f>U19</f>
        <v>120.34556750000002</v>
      </c>
      <c r="T21" s="74" t="s">
        <v>132</v>
      </c>
      <c r="U21" s="115"/>
    </row>
    <row r="22" spans="1:21" ht="15.75">
      <c r="A22" s="397" t="s">
        <v>211</v>
      </c>
      <c r="B22" s="397"/>
      <c r="C22" s="397"/>
      <c r="D22" s="397"/>
      <c r="E22" s="397"/>
      <c r="F22" s="106">
        <f>F21*1.06</f>
        <v>330.97976664750001</v>
      </c>
      <c r="G22" s="107" t="s">
        <v>132</v>
      </c>
      <c r="H22" s="106">
        <f>H21*1.06</f>
        <v>205.75306357500006</v>
      </c>
      <c r="I22" s="107" t="s">
        <v>132</v>
      </c>
      <c r="J22" s="32"/>
      <c r="L22" s="396" t="s">
        <v>211</v>
      </c>
      <c r="M22" s="397"/>
      <c r="N22" s="397"/>
      <c r="O22" s="397"/>
      <c r="P22" s="397"/>
      <c r="Q22" s="106">
        <f>Q21*1.06</f>
        <v>200.59740801500004</v>
      </c>
      <c r="R22" s="107" t="s">
        <v>132</v>
      </c>
      <c r="S22" s="106">
        <f>S21*1.06</f>
        <v>127.56630155000002</v>
      </c>
      <c r="T22" s="107" t="s">
        <v>132</v>
      </c>
      <c r="U22" s="32"/>
    </row>
    <row r="23" spans="1:21" ht="15.75">
      <c r="A23" s="42"/>
      <c r="B23" s="76"/>
      <c r="C23" s="76"/>
      <c r="D23" s="400" t="s">
        <v>206</v>
      </c>
      <c r="E23" s="400"/>
      <c r="F23" s="112">
        <f>F22*6</f>
        <v>1985.8785998850001</v>
      </c>
      <c r="G23" s="58" t="s">
        <v>132</v>
      </c>
      <c r="H23" s="112">
        <f>H22*6</f>
        <v>1234.5183814500003</v>
      </c>
      <c r="I23" s="58" t="s">
        <v>132</v>
      </c>
      <c r="J23" s="116"/>
      <c r="L23" s="60"/>
      <c r="M23" s="76"/>
      <c r="N23" s="76"/>
      <c r="O23" s="400" t="s">
        <v>206</v>
      </c>
      <c r="P23" s="400"/>
      <c r="Q23" s="112">
        <f>Q22*6</f>
        <v>1203.5844480900003</v>
      </c>
      <c r="R23" s="58" t="s">
        <v>132</v>
      </c>
      <c r="S23" s="112">
        <f>S22*6</f>
        <v>765.39780930000006</v>
      </c>
      <c r="T23" s="58" t="s">
        <v>132</v>
      </c>
      <c r="U23" s="116"/>
    </row>
    <row r="25" spans="1:21">
      <c r="A25" s="380" t="s">
        <v>220</v>
      </c>
      <c r="B25" s="381"/>
      <c r="C25" s="381"/>
      <c r="D25" s="381"/>
      <c r="E25" s="381"/>
      <c r="F25" s="381"/>
      <c r="G25" s="381"/>
      <c r="H25" s="381"/>
      <c r="I25" s="381"/>
      <c r="J25" s="382"/>
      <c r="L25" s="380" t="s">
        <v>221</v>
      </c>
      <c r="M25" s="381"/>
      <c r="N25" s="381"/>
      <c r="O25" s="381"/>
      <c r="P25" s="381"/>
      <c r="Q25" s="381"/>
      <c r="R25" s="381"/>
      <c r="S25" s="381"/>
      <c r="T25" s="381"/>
      <c r="U25" s="382"/>
    </row>
    <row r="26" spans="1:21" ht="8.25" customHeight="1">
      <c r="A26" s="383"/>
      <c r="B26" s="384"/>
      <c r="C26" s="384"/>
      <c r="D26" s="384"/>
      <c r="E26" s="384"/>
      <c r="F26" s="384"/>
      <c r="G26" s="384"/>
      <c r="H26" s="384"/>
      <c r="I26" s="384"/>
      <c r="J26" s="385"/>
      <c r="L26" s="383"/>
      <c r="M26" s="384"/>
      <c r="N26" s="384"/>
      <c r="O26" s="384"/>
      <c r="P26" s="384"/>
      <c r="Q26" s="384"/>
      <c r="R26" s="384"/>
      <c r="S26" s="384"/>
      <c r="T26" s="384"/>
      <c r="U26" s="385"/>
    </row>
    <row r="27" spans="1:21">
      <c r="A27" s="38"/>
      <c r="B27" s="31"/>
      <c r="C27" s="325" t="s">
        <v>213</v>
      </c>
      <c r="D27" s="325"/>
      <c r="E27" s="31"/>
      <c r="F27" s="325" t="s">
        <v>214</v>
      </c>
      <c r="G27" s="325"/>
      <c r="I27" s="325" t="s">
        <v>109</v>
      </c>
      <c r="J27" s="336"/>
      <c r="L27" s="38"/>
      <c r="M27" s="31"/>
      <c r="N27" s="325" t="s">
        <v>213</v>
      </c>
      <c r="O27" s="325"/>
      <c r="P27" s="31"/>
      <c r="Q27" s="325" t="s">
        <v>214</v>
      </c>
      <c r="R27" s="325"/>
      <c r="T27" s="325" t="s">
        <v>109</v>
      </c>
      <c r="U27" s="336"/>
    </row>
    <row r="28" spans="1:21" ht="15" customHeight="1">
      <c r="A28" s="392" t="s">
        <v>147</v>
      </c>
      <c r="B28" s="117" t="s">
        <v>225</v>
      </c>
      <c r="C28" s="33">
        <f>(3.78+6.28)/2</f>
        <v>5.03</v>
      </c>
      <c r="D28" s="63">
        <f>C28/2</f>
        <v>2.5150000000000001</v>
      </c>
      <c r="E28" s="117" t="s">
        <v>217</v>
      </c>
      <c r="F28" s="33">
        <v>3.8</v>
      </c>
      <c r="G28" s="63">
        <f>F28/2</f>
        <v>1.9</v>
      </c>
      <c r="I28" s="63">
        <v>1.85</v>
      </c>
      <c r="J28" s="32" t="s">
        <v>34</v>
      </c>
      <c r="L28" s="392" t="s">
        <v>147</v>
      </c>
      <c r="M28" s="117" t="s">
        <v>215</v>
      </c>
      <c r="N28" s="33">
        <v>6.28</v>
      </c>
      <c r="O28" s="63">
        <f>N28/2</f>
        <v>3.14</v>
      </c>
      <c r="P28" s="117" t="s">
        <v>217</v>
      </c>
      <c r="Q28" s="33">
        <v>2.8</v>
      </c>
      <c r="R28" s="63">
        <f>Q28/2</f>
        <v>1.4</v>
      </c>
      <c r="T28" s="63" t="s">
        <v>120</v>
      </c>
      <c r="U28" s="32" t="s">
        <v>34</v>
      </c>
    </row>
    <row r="29" spans="1:21" ht="15" customHeight="1">
      <c r="A29" s="392"/>
      <c r="B29" s="117" t="s">
        <v>226</v>
      </c>
      <c r="C29" s="33">
        <f>(5+2.5)/2</f>
        <v>3.75</v>
      </c>
      <c r="D29" s="63">
        <f>C29/2</f>
        <v>1.875</v>
      </c>
      <c r="E29" s="117" t="s">
        <v>218</v>
      </c>
      <c r="F29" s="33"/>
      <c r="G29" s="63">
        <f>1.55*COS(RADIANS(53))</f>
        <v>0.93281328588567503</v>
      </c>
      <c r="I29" s="31"/>
      <c r="J29" s="32"/>
      <c r="L29" s="392"/>
      <c r="M29" s="117" t="s">
        <v>216</v>
      </c>
      <c r="N29" s="33" t="s">
        <v>120</v>
      </c>
      <c r="O29" s="63" t="str">
        <f>N29</f>
        <v>-</v>
      </c>
      <c r="P29" s="117" t="s">
        <v>218</v>
      </c>
      <c r="Q29" s="33">
        <v>3.8</v>
      </c>
      <c r="R29" s="63">
        <f>Q29/2</f>
        <v>1.9</v>
      </c>
      <c r="T29" s="31"/>
      <c r="U29" s="32"/>
    </row>
    <row r="30" spans="1:21">
      <c r="A30" s="38"/>
      <c r="B30" s="117" t="s">
        <v>227</v>
      </c>
      <c r="C30" s="33">
        <v>6.28</v>
      </c>
      <c r="D30" s="63">
        <f>C30/2</f>
        <v>3.14</v>
      </c>
      <c r="E30" s="31"/>
      <c r="F30" s="31"/>
      <c r="G30" s="31"/>
      <c r="J30" s="32"/>
      <c r="L30" s="38"/>
      <c r="M30" s="31"/>
      <c r="N30" s="31"/>
      <c r="O30" s="31"/>
      <c r="P30" s="31"/>
      <c r="Q30" s="31"/>
      <c r="R30" s="31"/>
      <c r="U30" s="32"/>
    </row>
    <row r="31" spans="1:21" ht="15" customHeight="1">
      <c r="B31" s="117" t="s">
        <v>228</v>
      </c>
      <c r="C31" s="33" t="s">
        <v>120</v>
      </c>
      <c r="D31" s="33" t="s">
        <v>120</v>
      </c>
      <c r="F31" s="51"/>
      <c r="G31" s="51"/>
      <c r="I31" s="51"/>
      <c r="J31" s="50"/>
      <c r="L31" s="399" t="s">
        <v>115</v>
      </c>
      <c r="M31" s="329" t="s">
        <v>204</v>
      </c>
      <c r="N31" s="329"/>
      <c r="O31" s="329"/>
      <c r="P31" s="99">
        <v>1</v>
      </c>
      <c r="Q31" s="51"/>
      <c r="R31" s="51"/>
      <c r="S31" s="51"/>
      <c r="T31" s="51"/>
      <c r="U31" s="50"/>
    </row>
    <row r="32" spans="1:21" ht="15.75" customHeight="1">
      <c r="A32" s="399" t="s">
        <v>115</v>
      </c>
      <c r="B32" s="329" t="s">
        <v>204</v>
      </c>
      <c r="C32" s="329"/>
      <c r="D32" s="329"/>
      <c r="E32" s="99">
        <v>1</v>
      </c>
      <c r="I32" s="51"/>
      <c r="J32" s="50"/>
      <c r="L32" s="399"/>
      <c r="M32" s="329"/>
      <c r="N32" s="329"/>
      <c r="O32" s="329"/>
      <c r="P32" s="99">
        <v>1.1000000000000001</v>
      </c>
      <c r="Q32" s="51"/>
      <c r="R32" s="51"/>
      <c r="S32" s="51"/>
      <c r="T32" s="51"/>
      <c r="U32" s="50"/>
    </row>
    <row r="33" spans="1:21">
      <c r="A33" s="399"/>
      <c r="B33" s="329"/>
      <c r="C33" s="329"/>
      <c r="D33" s="329"/>
      <c r="E33" s="99">
        <v>1.1000000000000001</v>
      </c>
      <c r="I33" s="51"/>
      <c r="J33" s="50"/>
      <c r="L33" s="399"/>
      <c r="M33" s="329"/>
      <c r="N33" s="329"/>
      <c r="O33" s="329"/>
      <c r="P33" s="99">
        <v>1.2</v>
      </c>
      <c r="Q33" s="51"/>
      <c r="R33" s="51"/>
      <c r="S33" s="51"/>
      <c r="T33" s="51"/>
      <c r="U33" s="50"/>
    </row>
    <row r="34" spans="1:21">
      <c r="A34" s="399"/>
      <c r="B34" s="329"/>
      <c r="C34" s="329"/>
      <c r="D34" s="329"/>
      <c r="E34" s="99">
        <v>1.2</v>
      </c>
      <c r="I34" s="31"/>
      <c r="J34" s="32"/>
      <c r="L34" s="38"/>
      <c r="M34" s="31"/>
      <c r="N34" s="31"/>
      <c r="O34" s="31"/>
      <c r="P34" s="31"/>
      <c r="Q34" s="31"/>
      <c r="R34" s="31"/>
      <c r="S34" s="31"/>
      <c r="T34" s="31"/>
      <c r="U34" s="32"/>
    </row>
    <row r="35" spans="1:21" ht="33">
      <c r="A35" s="38"/>
      <c r="B35" s="379" t="s">
        <v>142</v>
      </c>
      <c r="C35" s="379"/>
      <c r="D35" s="109"/>
      <c r="E35" s="73" t="s">
        <v>140</v>
      </c>
      <c r="F35" s="74" t="s">
        <v>141</v>
      </c>
      <c r="G35" s="113" t="s">
        <v>207</v>
      </c>
      <c r="H35" s="73" t="s">
        <v>140</v>
      </c>
      <c r="I35" s="89" t="s">
        <v>205</v>
      </c>
      <c r="J35" s="110" t="s">
        <v>181</v>
      </c>
      <c r="L35" s="38"/>
      <c r="M35" s="379" t="s">
        <v>142</v>
      </c>
      <c r="N35" s="379"/>
      <c r="O35" s="109"/>
      <c r="P35" s="73" t="s">
        <v>140</v>
      </c>
      <c r="Q35" s="74" t="s">
        <v>141</v>
      </c>
      <c r="R35" s="113" t="s">
        <v>207</v>
      </c>
      <c r="S35" s="73" t="s">
        <v>140</v>
      </c>
      <c r="T35" s="89" t="s">
        <v>205</v>
      </c>
      <c r="U35" s="110" t="s">
        <v>181</v>
      </c>
    </row>
    <row r="36" spans="1:21" ht="17.25">
      <c r="A36" s="38"/>
      <c r="B36" s="318" t="s">
        <v>139</v>
      </c>
      <c r="C36" s="318"/>
      <c r="D36" s="108">
        <f>((E32*D28)*(E32*G29))+((E33*D29)*(E32*G29))+((E32*D30)*(E32*G28))</f>
        <v>10.235952816141678</v>
      </c>
      <c r="E36" s="114" t="s">
        <v>208</v>
      </c>
      <c r="F36" s="33">
        <f>'3.Riepilogo carichi unitari'!$H$4</f>
        <v>10.37895</v>
      </c>
      <c r="G36" s="33">
        <f>'3.Riepilogo carichi unitari'!$J$4</f>
        <v>6.0914999999999999</v>
      </c>
      <c r="H36" s="62" t="s">
        <v>209</v>
      </c>
      <c r="I36" s="61">
        <f>D36*F36</f>
        <v>106.23844248109367</v>
      </c>
      <c r="J36" s="111">
        <f>D36*G36</f>
        <v>62.352306579527031</v>
      </c>
      <c r="L36" s="38"/>
      <c r="M36" s="318" t="s">
        <v>139</v>
      </c>
      <c r="N36" s="318"/>
      <c r="O36" s="108">
        <f>(P31*O28)*(P31*R29)</f>
        <v>5.9660000000000002</v>
      </c>
      <c r="P36" s="114" t="s">
        <v>208</v>
      </c>
      <c r="Q36" s="33">
        <f>'3.Riepilogo carichi unitari'!$H$4</f>
        <v>10.37895</v>
      </c>
      <c r="R36" s="33">
        <f>'3.Riepilogo carichi unitari'!$J$4</f>
        <v>6.0914999999999999</v>
      </c>
      <c r="S36" s="62" t="s">
        <v>209</v>
      </c>
      <c r="T36" s="61">
        <f>O36*Q36</f>
        <v>61.920815699999999</v>
      </c>
      <c r="U36" s="111">
        <f>O36*R36</f>
        <v>36.341889000000002</v>
      </c>
    </row>
    <row r="37" spans="1:21" ht="17.25">
      <c r="A37" s="38"/>
      <c r="B37" s="318" t="s">
        <v>138</v>
      </c>
      <c r="C37" s="318"/>
      <c r="D37" s="33"/>
      <c r="E37" s="73" t="s">
        <v>208</v>
      </c>
      <c r="F37" s="33">
        <f>'3.Riepilogo carichi unitari'!$H$7</f>
        <v>10.95495</v>
      </c>
      <c r="G37" s="33">
        <f>'3.Riepilogo carichi unitari'!$J$7</f>
        <v>6.2115000000000009</v>
      </c>
      <c r="H37" s="62" t="s">
        <v>209</v>
      </c>
      <c r="I37" s="61"/>
      <c r="J37" s="111"/>
      <c r="L37" s="38"/>
      <c r="M37" s="318" t="s">
        <v>138</v>
      </c>
      <c r="N37" s="318"/>
      <c r="O37" s="33"/>
      <c r="P37" s="73" t="s">
        <v>208</v>
      </c>
      <c r="Q37" s="33">
        <f>'3.Riepilogo carichi unitari'!$H$7</f>
        <v>10.95495</v>
      </c>
      <c r="R37" s="33">
        <f>'3.Riepilogo carichi unitari'!$J$7</f>
        <v>6.2115000000000009</v>
      </c>
      <c r="S37" s="62" t="s">
        <v>209</v>
      </c>
      <c r="T37" s="61"/>
      <c r="U37" s="111"/>
    </row>
    <row r="38" spans="1:21" ht="17.25">
      <c r="A38" s="38"/>
      <c r="B38" s="318" t="s">
        <v>137</v>
      </c>
      <c r="C38" s="318"/>
      <c r="D38" s="33"/>
      <c r="E38" s="73" t="s">
        <v>208</v>
      </c>
      <c r="F38" s="33">
        <f>'3.Riepilogo carichi unitari'!$H$7</f>
        <v>10.95495</v>
      </c>
      <c r="G38" s="33">
        <f>'3.Riepilogo carichi unitari'!$J$7</f>
        <v>6.2115000000000009</v>
      </c>
      <c r="H38" s="62" t="s">
        <v>209</v>
      </c>
      <c r="J38" s="32"/>
      <c r="L38" s="38"/>
      <c r="M38" s="318" t="s">
        <v>137</v>
      </c>
      <c r="N38" s="318"/>
      <c r="O38" s="33"/>
      <c r="P38" s="73" t="s">
        <v>208</v>
      </c>
      <c r="Q38" s="33">
        <f>'3.Riepilogo carichi unitari'!$H$7</f>
        <v>10.95495</v>
      </c>
      <c r="R38" s="33">
        <f>'3.Riepilogo carichi unitari'!$J$7</f>
        <v>6.2115000000000009</v>
      </c>
      <c r="S38" s="62" t="s">
        <v>209</v>
      </c>
      <c r="T38" s="61"/>
      <c r="U38" s="111"/>
    </row>
    <row r="39" spans="1:21" ht="17.25">
      <c r="A39" s="38"/>
      <c r="B39" s="318" t="s">
        <v>136</v>
      </c>
      <c r="C39" s="318"/>
      <c r="D39" s="33"/>
      <c r="E39" s="73" t="s">
        <v>208</v>
      </c>
      <c r="F39" s="33">
        <f>'3.Riepilogo carichi unitari'!$H$8</f>
        <v>15.237165368783602</v>
      </c>
      <c r="G39" s="33">
        <f>'3.Riepilogo carichi unitari'!$J$8</f>
        <v>9.5055118221412318</v>
      </c>
      <c r="H39" s="62" t="s">
        <v>210</v>
      </c>
      <c r="I39" s="61"/>
      <c r="J39" s="111"/>
      <c r="L39" s="38"/>
      <c r="M39" s="318" t="s">
        <v>136</v>
      </c>
      <c r="N39" s="318"/>
      <c r="O39" s="33">
        <f>(P31*O28)*(P31*R28)</f>
        <v>4.3959999999999999</v>
      </c>
      <c r="P39" s="73" t="s">
        <v>208</v>
      </c>
      <c r="Q39" s="33">
        <f>'3.Riepilogo carichi unitari'!$H$8</f>
        <v>15.237165368783602</v>
      </c>
      <c r="R39" s="33">
        <f>'3.Riepilogo carichi unitari'!$J$8</f>
        <v>9.5055118221412318</v>
      </c>
      <c r="S39" s="62" t="s">
        <v>210</v>
      </c>
      <c r="T39" s="61">
        <f t="shared" ref="T39" si="4">O39*Q39</f>
        <v>66.982578961172706</v>
      </c>
      <c r="U39" s="111">
        <f t="shared" ref="U39" si="5">O39*R39</f>
        <v>41.786229970132851</v>
      </c>
    </row>
    <row r="40" spans="1:21">
      <c r="A40" s="38"/>
      <c r="B40" s="318" t="s">
        <v>123</v>
      </c>
      <c r="C40" s="318"/>
      <c r="D40" s="33">
        <f>(E32*G28)+(E34*2.5/2)</f>
        <v>3.4</v>
      </c>
      <c r="E40" s="73" t="s">
        <v>34</v>
      </c>
      <c r="F40" s="33">
        <f>'3.Riepilogo carichi unitari'!$H$11</f>
        <v>7.8416000000000015</v>
      </c>
      <c r="G40" s="33">
        <f>'3.Riepilogo carichi unitari'!$J$11</f>
        <v>6.0320000000000009</v>
      </c>
      <c r="H40" s="62" t="s">
        <v>102</v>
      </c>
      <c r="I40" s="61">
        <f>D40*F41</f>
        <v>17.625854999999998</v>
      </c>
      <c r="J40" s="111">
        <f>D40*G41</f>
        <v>13.558350000000001</v>
      </c>
      <c r="L40" s="38"/>
      <c r="M40" s="318" t="s">
        <v>123</v>
      </c>
      <c r="N40" s="318"/>
      <c r="O40" s="33">
        <f>(P31*R28)+(P31*R29)</f>
        <v>3.3</v>
      </c>
      <c r="P40" s="73" t="s">
        <v>34</v>
      </c>
      <c r="Q40" s="33">
        <f>'3.Riepilogo carichi unitari'!$H$11</f>
        <v>7.8416000000000015</v>
      </c>
      <c r="R40" s="33">
        <f>'3.Riepilogo carichi unitari'!$J$11</f>
        <v>6.0320000000000009</v>
      </c>
      <c r="S40" s="62" t="s">
        <v>102</v>
      </c>
      <c r="T40" s="61">
        <f t="shared" ref="T40:T41" si="6">O40*Q40</f>
        <v>25.877280000000003</v>
      </c>
      <c r="U40" s="111">
        <f t="shared" ref="U40:U41" si="7">O40*R40</f>
        <v>19.905600000000003</v>
      </c>
    </row>
    <row r="41" spans="1:21">
      <c r="A41" s="38"/>
      <c r="B41" s="318" t="s">
        <v>135</v>
      </c>
      <c r="C41" s="318"/>
      <c r="D41" s="33">
        <f>(E32*G28)+(E34*2.5/2)</f>
        <v>3.4</v>
      </c>
      <c r="E41" s="73" t="s">
        <v>34</v>
      </c>
      <c r="F41" s="33">
        <f>'3.Riepilogo carichi unitari'!$H$9</f>
        <v>5.184075</v>
      </c>
      <c r="G41" s="33">
        <f>'3.Riepilogo carichi unitari'!$J$9</f>
        <v>3.9877500000000001</v>
      </c>
      <c r="H41" s="62" t="s">
        <v>102</v>
      </c>
      <c r="I41" s="61">
        <f>D41*F42</f>
        <v>7.8289249999999999</v>
      </c>
      <c r="J41" s="111">
        <f>D41*G42</f>
        <v>6.0222499999999988</v>
      </c>
      <c r="L41" s="38"/>
      <c r="M41" s="318" t="s">
        <v>135</v>
      </c>
      <c r="N41" s="318"/>
      <c r="O41" s="33">
        <f>(P31*R28)+(P31*R29)+(P31*O28)</f>
        <v>6.4399999999999995</v>
      </c>
      <c r="P41" s="73" t="s">
        <v>34</v>
      </c>
      <c r="Q41" s="33">
        <f>'3.Riepilogo carichi unitari'!$H$9</f>
        <v>5.184075</v>
      </c>
      <c r="R41" s="33">
        <f>'3.Riepilogo carichi unitari'!$J$9</f>
        <v>3.9877500000000001</v>
      </c>
      <c r="S41" s="62" t="s">
        <v>102</v>
      </c>
      <c r="T41" s="61">
        <f t="shared" si="6"/>
        <v>33.385442999999995</v>
      </c>
      <c r="U41" s="111">
        <f t="shared" si="7"/>
        <v>25.68111</v>
      </c>
    </row>
    <row r="42" spans="1:21">
      <c r="A42" s="38"/>
      <c r="B42" s="318" t="s">
        <v>134</v>
      </c>
      <c r="C42" s="318"/>
      <c r="D42" s="33">
        <f>E32*3.1/2</f>
        <v>1.55</v>
      </c>
      <c r="E42" s="73" t="s">
        <v>34</v>
      </c>
      <c r="F42" s="33">
        <f>'3.Riepilogo carichi unitari'!$H$10</f>
        <v>2.3026249999999999</v>
      </c>
      <c r="G42" s="33">
        <f>'3.Riepilogo carichi unitari'!$J$10</f>
        <v>1.7712499999999998</v>
      </c>
      <c r="H42" s="62" t="s">
        <v>102</v>
      </c>
      <c r="I42" s="61">
        <f>D42*F40</f>
        <v>12.154480000000003</v>
      </c>
      <c r="J42" s="111">
        <f>D42*G40</f>
        <v>9.3496000000000024</v>
      </c>
      <c r="L42" s="38"/>
      <c r="M42" s="318" t="s">
        <v>134</v>
      </c>
      <c r="N42" s="318"/>
      <c r="O42" s="33"/>
      <c r="P42" s="73" t="s">
        <v>34</v>
      </c>
      <c r="Q42" s="33">
        <f>'3.Riepilogo carichi unitari'!$H$10</f>
        <v>2.3026249999999999</v>
      </c>
      <c r="R42" s="33">
        <f>'3.Riepilogo carichi unitari'!$J$10</f>
        <v>1.7712499999999998</v>
      </c>
      <c r="S42" s="62" t="s">
        <v>102</v>
      </c>
      <c r="T42" s="61"/>
      <c r="U42" s="111"/>
    </row>
    <row r="43" spans="1:21">
      <c r="A43" s="38"/>
      <c r="B43" s="328" t="s">
        <v>133</v>
      </c>
      <c r="C43" s="328"/>
      <c r="D43" s="325"/>
      <c r="E43" s="325"/>
      <c r="F43" s="325"/>
      <c r="G43" s="325"/>
      <c r="H43" s="325"/>
      <c r="I43" s="61">
        <f>SUM(I36:I42)</f>
        <v>143.84770248109368</v>
      </c>
      <c r="J43" s="111">
        <f>SUM(J36:J42)</f>
        <v>91.282506579527023</v>
      </c>
      <c r="L43" s="38"/>
      <c r="M43" s="328" t="s">
        <v>133</v>
      </c>
      <c r="N43" s="328"/>
      <c r="O43" s="325"/>
      <c r="P43" s="325"/>
      <c r="Q43" s="325"/>
      <c r="R43" s="325"/>
      <c r="S43" s="325"/>
      <c r="T43" s="61">
        <f>SUM(T36:T42)</f>
        <v>188.16611766117273</v>
      </c>
      <c r="U43" s="111">
        <f>SUM(U36:U42)</f>
        <v>123.71482897013286</v>
      </c>
    </row>
    <row r="44" spans="1:21">
      <c r="A44" s="38"/>
      <c r="B44" s="31"/>
      <c r="C44" s="31"/>
      <c r="D44" s="31"/>
      <c r="E44" s="31"/>
      <c r="F44" s="393" t="s">
        <v>186</v>
      </c>
      <c r="G44" s="394"/>
      <c r="H44" s="393" t="s">
        <v>178</v>
      </c>
      <c r="I44" s="394"/>
      <c r="J44" s="32"/>
      <c r="L44" s="38"/>
      <c r="M44" s="31"/>
      <c r="N44" s="31"/>
      <c r="O44" s="31"/>
      <c r="P44" s="31"/>
      <c r="Q44" s="393" t="s">
        <v>186</v>
      </c>
      <c r="R44" s="394"/>
      <c r="S44" s="393" t="s">
        <v>178</v>
      </c>
      <c r="T44" s="394"/>
      <c r="U44" s="32"/>
    </row>
    <row r="45" spans="1:21">
      <c r="A45" s="330" t="s">
        <v>212</v>
      </c>
      <c r="B45" s="395"/>
      <c r="C45" s="395"/>
      <c r="D45" s="395"/>
      <c r="E45" s="395"/>
      <c r="F45" s="61">
        <f>I43</f>
        <v>143.84770248109368</v>
      </c>
      <c r="G45" s="74" t="s">
        <v>132</v>
      </c>
      <c r="H45" s="61">
        <f>J43</f>
        <v>91.282506579527023</v>
      </c>
      <c r="I45" s="74" t="s">
        <v>132</v>
      </c>
      <c r="J45" s="115"/>
      <c r="L45" s="330" t="s">
        <v>212</v>
      </c>
      <c r="M45" s="395"/>
      <c r="N45" s="395"/>
      <c r="O45" s="395"/>
      <c r="P45" s="395"/>
      <c r="Q45" s="61">
        <f>T43</f>
        <v>188.16611766117273</v>
      </c>
      <c r="R45" s="74" t="s">
        <v>132</v>
      </c>
      <c r="S45" s="61">
        <f>U43</f>
        <v>123.71482897013286</v>
      </c>
      <c r="T45" s="74" t="s">
        <v>132</v>
      </c>
      <c r="U45" s="115"/>
    </row>
    <row r="46" spans="1:21" ht="15.75">
      <c r="A46" s="396" t="s">
        <v>211</v>
      </c>
      <c r="B46" s="397"/>
      <c r="C46" s="397"/>
      <c r="D46" s="397"/>
      <c r="E46" s="397"/>
      <c r="F46" s="106">
        <f>F45*1.06</f>
        <v>152.47856462995929</v>
      </c>
      <c r="G46" s="107" t="s">
        <v>132</v>
      </c>
      <c r="H46" s="106">
        <f>H45*1.06</f>
        <v>96.759456974298644</v>
      </c>
      <c r="I46" s="107" t="s">
        <v>132</v>
      </c>
      <c r="J46" s="32"/>
      <c r="L46" s="396" t="s">
        <v>211</v>
      </c>
      <c r="M46" s="397"/>
      <c r="N46" s="397"/>
      <c r="O46" s="397"/>
      <c r="P46" s="397"/>
      <c r="Q46" s="106">
        <f>Q45*1.06</f>
        <v>199.45608472084311</v>
      </c>
      <c r="R46" s="107" t="s">
        <v>132</v>
      </c>
      <c r="S46" s="106">
        <f>S45*1.06</f>
        <v>131.13771870834083</v>
      </c>
      <c r="T46" s="107" t="s">
        <v>132</v>
      </c>
      <c r="U46" s="32"/>
    </row>
    <row r="47" spans="1:21" ht="15.75">
      <c r="A47" s="60"/>
      <c r="B47" s="76"/>
      <c r="C47" s="76"/>
      <c r="D47" s="400" t="s">
        <v>206</v>
      </c>
      <c r="E47" s="400"/>
      <c r="F47" s="112">
        <f>F46*6</f>
        <v>914.87138777975576</v>
      </c>
      <c r="G47" s="58" t="s">
        <v>132</v>
      </c>
      <c r="H47" s="112">
        <f>H46*6</f>
        <v>580.55674184579186</v>
      </c>
      <c r="I47" s="58" t="s">
        <v>132</v>
      </c>
      <c r="J47" s="116"/>
      <c r="L47" s="60"/>
      <c r="M47" s="76"/>
      <c r="N47" s="76"/>
      <c r="O47" s="400" t="s">
        <v>206</v>
      </c>
      <c r="P47" s="400"/>
      <c r="Q47" s="112">
        <f>Q46*6</f>
        <v>1196.7365083250586</v>
      </c>
      <c r="R47" s="58" t="s">
        <v>132</v>
      </c>
      <c r="S47" s="112">
        <f>S46*6</f>
        <v>786.82631225004502</v>
      </c>
      <c r="T47" s="58" t="s">
        <v>132</v>
      </c>
      <c r="U47" s="116"/>
    </row>
    <row r="49" spans="1:21">
      <c r="A49" s="380" t="s">
        <v>150</v>
      </c>
      <c r="B49" s="381"/>
      <c r="C49" s="381"/>
      <c r="D49" s="381"/>
      <c r="E49" s="381"/>
      <c r="F49" s="381"/>
      <c r="G49" s="381"/>
      <c r="H49" s="381"/>
      <c r="I49" s="381"/>
      <c r="J49" s="382"/>
      <c r="L49" s="401" t="s">
        <v>219</v>
      </c>
      <c r="M49" s="402"/>
      <c r="N49" s="402"/>
      <c r="O49" s="402"/>
      <c r="P49" s="402"/>
      <c r="Q49" s="402"/>
      <c r="R49" s="402"/>
      <c r="S49" s="402"/>
      <c r="T49" s="402"/>
      <c r="U49" s="403"/>
    </row>
    <row r="50" spans="1:21" ht="6.75" customHeight="1">
      <c r="A50" s="383"/>
      <c r="B50" s="384"/>
      <c r="C50" s="384"/>
      <c r="D50" s="384"/>
      <c r="E50" s="384"/>
      <c r="F50" s="384"/>
      <c r="G50" s="384"/>
      <c r="H50" s="384"/>
      <c r="I50" s="384"/>
      <c r="J50" s="385"/>
      <c r="L50" s="404"/>
      <c r="M50" s="405"/>
      <c r="N50" s="405"/>
      <c r="O50" s="405"/>
      <c r="P50" s="405"/>
      <c r="Q50" s="405"/>
      <c r="R50" s="405"/>
      <c r="S50" s="405"/>
      <c r="T50" s="405"/>
      <c r="U50" s="406"/>
    </row>
    <row r="51" spans="1:21">
      <c r="A51" s="38"/>
      <c r="B51" s="31"/>
      <c r="C51" s="325" t="s">
        <v>213</v>
      </c>
      <c r="D51" s="325"/>
      <c r="E51" s="31"/>
      <c r="F51" s="325" t="s">
        <v>214</v>
      </c>
      <c r="G51" s="325"/>
      <c r="I51" s="325" t="s">
        <v>109</v>
      </c>
      <c r="J51" s="336"/>
      <c r="L51" s="38"/>
      <c r="M51" s="31"/>
      <c r="N51" s="325" t="s">
        <v>213</v>
      </c>
      <c r="O51" s="325"/>
      <c r="P51" s="31"/>
      <c r="Q51" s="325" t="s">
        <v>214</v>
      </c>
      <c r="R51" s="325"/>
      <c r="T51" s="325" t="s">
        <v>109</v>
      </c>
      <c r="U51" s="336"/>
    </row>
    <row r="52" spans="1:21">
      <c r="A52" s="392" t="s">
        <v>147</v>
      </c>
      <c r="B52" s="117" t="s">
        <v>215</v>
      </c>
      <c r="C52" s="33">
        <v>3.78</v>
      </c>
      <c r="D52" s="63">
        <f>C52/2</f>
        <v>1.89</v>
      </c>
      <c r="E52" s="117" t="s">
        <v>217</v>
      </c>
      <c r="F52" s="33">
        <v>4.7</v>
      </c>
      <c r="G52" s="63">
        <f>F52/2</f>
        <v>2.35</v>
      </c>
      <c r="I52" s="63">
        <v>1.85</v>
      </c>
      <c r="J52" s="32" t="s">
        <v>34</v>
      </c>
      <c r="L52" s="392" t="s">
        <v>147</v>
      </c>
      <c r="M52" s="117" t="s">
        <v>215</v>
      </c>
      <c r="N52" s="33">
        <v>5</v>
      </c>
      <c r="O52" s="63">
        <f>N52/2</f>
        <v>2.5</v>
      </c>
      <c r="P52" s="117" t="s">
        <v>217</v>
      </c>
      <c r="Q52" s="33">
        <v>6.4</v>
      </c>
      <c r="R52" s="63">
        <f>Q52/2</f>
        <v>3.2</v>
      </c>
      <c r="T52" s="63">
        <v>1.85</v>
      </c>
      <c r="U52" s="32" t="s">
        <v>34</v>
      </c>
    </row>
    <row r="53" spans="1:21">
      <c r="A53" s="392"/>
      <c r="B53" s="117" t="s">
        <v>216</v>
      </c>
      <c r="C53" s="33">
        <v>5</v>
      </c>
      <c r="D53" s="63">
        <f>C53/2</f>
        <v>2.5</v>
      </c>
      <c r="E53" s="117" t="s">
        <v>218</v>
      </c>
      <c r="I53" s="31"/>
      <c r="J53" s="32"/>
      <c r="L53" s="392"/>
      <c r="M53" s="117" t="s">
        <v>216</v>
      </c>
      <c r="N53" s="33">
        <v>1.85</v>
      </c>
      <c r="O53" s="63">
        <f>N53</f>
        <v>1.85</v>
      </c>
      <c r="P53" s="117" t="s">
        <v>218</v>
      </c>
      <c r="Q53" s="33"/>
      <c r="T53" s="31"/>
      <c r="U53" s="32"/>
    </row>
    <row r="54" spans="1:21">
      <c r="A54" s="38"/>
      <c r="B54" s="31"/>
      <c r="C54" s="31"/>
      <c r="D54" s="31"/>
      <c r="E54" s="31"/>
      <c r="F54" s="31"/>
      <c r="G54" s="31"/>
      <c r="H54" s="31"/>
      <c r="I54" s="31"/>
      <c r="J54" s="32"/>
      <c r="L54" s="38"/>
      <c r="M54" s="31"/>
      <c r="N54" s="31"/>
      <c r="O54" s="31"/>
      <c r="P54" s="31"/>
      <c r="Q54" s="31"/>
      <c r="R54" s="31"/>
      <c r="U54" s="32"/>
    </row>
    <row r="55" spans="1:21">
      <c r="A55" s="399" t="s">
        <v>115</v>
      </c>
      <c r="B55" s="329" t="s">
        <v>204</v>
      </c>
      <c r="C55" s="329"/>
      <c r="D55" s="329"/>
      <c r="E55" s="99">
        <v>1</v>
      </c>
      <c r="F55" s="51"/>
      <c r="G55" s="51"/>
      <c r="H55" s="51"/>
      <c r="I55" s="51"/>
      <c r="J55" s="50"/>
      <c r="L55" s="399" t="s">
        <v>115</v>
      </c>
      <c r="M55" s="329" t="s">
        <v>204</v>
      </c>
      <c r="N55" s="329"/>
      <c r="O55" s="329"/>
      <c r="P55" s="99">
        <v>1</v>
      </c>
      <c r="Q55" s="51"/>
      <c r="R55" s="51"/>
      <c r="S55" s="51"/>
      <c r="T55" s="51"/>
      <c r="U55" s="50"/>
    </row>
    <row r="56" spans="1:21">
      <c r="A56" s="399"/>
      <c r="B56" s="329"/>
      <c r="C56" s="329"/>
      <c r="D56" s="329"/>
      <c r="E56" s="99">
        <v>1.1000000000000001</v>
      </c>
      <c r="F56" s="51"/>
      <c r="G56" s="51"/>
      <c r="H56" s="51"/>
      <c r="I56" s="51"/>
      <c r="J56" s="50"/>
      <c r="L56" s="399"/>
      <c r="M56" s="329"/>
      <c r="N56" s="329"/>
      <c r="O56" s="329"/>
      <c r="P56" s="99">
        <v>1.1000000000000001</v>
      </c>
      <c r="Q56" s="51"/>
      <c r="R56" s="51"/>
      <c r="S56" s="51"/>
      <c r="T56" s="51"/>
      <c r="U56" s="50"/>
    </row>
    <row r="57" spans="1:21">
      <c r="A57" s="399"/>
      <c r="B57" s="329"/>
      <c r="C57" s="329"/>
      <c r="D57" s="329"/>
      <c r="E57" s="99">
        <v>1.2</v>
      </c>
      <c r="F57" s="51"/>
      <c r="G57" s="51"/>
      <c r="H57" s="51"/>
      <c r="I57" s="51"/>
      <c r="J57" s="50"/>
      <c r="L57" s="399"/>
      <c r="M57" s="329"/>
      <c r="N57" s="329"/>
      <c r="O57" s="329"/>
      <c r="P57" s="99">
        <v>1.2</v>
      </c>
      <c r="Q57" s="51"/>
      <c r="R57" s="51"/>
      <c r="S57" s="51"/>
      <c r="T57" s="51"/>
      <c r="U57" s="50"/>
    </row>
    <row r="58" spans="1:21">
      <c r="A58" s="38"/>
      <c r="B58" s="31"/>
      <c r="C58" s="31"/>
      <c r="D58" s="31"/>
      <c r="E58" s="31"/>
      <c r="F58" s="31"/>
      <c r="G58" s="31"/>
      <c r="H58" s="31"/>
      <c r="I58" s="31"/>
      <c r="J58" s="32"/>
      <c r="L58" s="38"/>
      <c r="M58" s="31"/>
      <c r="N58" s="31"/>
      <c r="O58" s="31"/>
      <c r="P58" s="31"/>
      <c r="Q58" s="31"/>
      <c r="R58" s="31"/>
      <c r="S58" s="31"/>
      <c r="T58" s="31"/>
      <c r="U58" s="32"/>
    </row>
    <row r="59" spans="1:21" ht="33">
      <c r="A59" s="38"/>
      <c r="B59" s="379" t="s">
        <v>142</v>
      </c>
      <c r="C59" s="379"/>
      <c r="D59" s="109"/>
      <c r="E59" s="73" t="s">
        <v>140</v>
      </c>
      <c r="F59" s="74" t="s">
        <v>141</v>
      </c>
      <c r="G59" s="113" t="s">
        <v>207</v>
      </c>
      <c r="H59" s="73" t="s">
        <v>140</v>
      </c>
      <c r="I59" s="89" t="s">
        <v>205</v>
      </c>
      <c r="J59" s="110" t="s">
        <v>181</v>
      </c>
      <c r="L59" s="38"/>
      <c r="M59" s="379" t="s">
        <v>142</v>
      </c>
      <c r="N59" s="379"/>
      <c r="O59" s="109"/>
      <c r="P59" s="73" t="s">
        <v>140</v>
      </c>
      <c r="Q59" s="74" t="s">
        <v>141</v>
      </c>
      <c r="R59" s="113" t="s">
        <v>207</v>
      </c>
      <c r="S59" s="73" t="s">
        <v>140</v>
      </c>
      <c r="T59" s="89" t="s">
        <v>205</v>
      </c>
      <c r="U59" s="110" t="s">
        <v>181</v>
      </c>
    </row>
    <row r="60" spans="1:21" ht="17.25">
      <c r="A60" s="38"/>
      <c r="B60" s="318" t="s">
        <v>139</v>
      </c>
      <c r="C60" s="318"/>
      <c r="D60" s="108">
        <f>((E55*D52)*(E55*G52))+((E56*D53)*(E55*G52))</f>
        <v>10.904</v>
      </c>
      <c r="E60" s="114" t="s">
        <v>208</v>
      </c>
      <c r="F60" s="33">
        <f>'3.Riepilogo carichi unitari'!$H$4</f>
        <v>10.37895</v>
      </c>
      <c r="G60" s="33">
        <f>'3.Riepilogo carichi unitari'!$J$4</f>
        <v>6.0914999999999999</v>
      </c>
      <c r="H60" s="62" t="s">
        <v>209</v>
      </c>
      <c r="I60" s="61">
        <f>D60*F60</f>
        <v>113.1720708</v>
      </c>
      <c r="J60" s="111">
        <f>D60*G60</f>
        <v>66.421716000000004</v>
      </c>
      <c r="L60" s="38"/>
      <c r="M60" s="318" t="s">
        <v>139</v>
      </c>
      <c r="N60" s="318"/>
      <c r="O60" s="108">
        <f>(P55*O52)*(P55*R52)</f>
        <v>8</v>
      </c>
      <c r="P60" s="114" t="s">
        <v>208</v>
      </c>
      <c r="Q60" s="33">
        <f>'3.Riepilogo carichi unitari'!$H$4</f>
        <v>10.37895</v>
      </c>
      <c r="R60" s="33">
        <f>'3.Riepilogo carichi unitari'!$J$4</f>
        <v>6.0914999999999999</v>
      </c>
      <c r="S60" s="62" t="s">
        <v>209</v>
      </c>
      <c r="T60" s="61">
        <f>O60*Q60</f>
        <v>83.031599999999997</v>
      </c>
      <c r="U60" s="111">
        <f>O60*R60</f>
        <v>48.731999999999999</v>
      </c>
    </row>
    <row r="61" spans="1:21" ht="17.25">
      <c r="A61" s="38"/>
      <c r="B61" s="318" t="s">
        <v>138</v>
      </c>
      <c r="C61" s="318"/>
      <c r="D61" s="33">
        <f>((D52)*I52)+(D53*(I52))</f>
        <v>8.1215000000000011</v>
      </c>
      <c r="E61" s="73" t="s">
        <v>208</v>
      </c>
      <c r="F61" s="33">
        <f>'3.Riepilogo carichi unitari'!$H$7</f>
        <v>10.95495</v>
      </c>
      <c r="G61" s="33">
        <f>'3.Riepilogo carichi unitari'!$J$7</f>
        <v>6.2115000000000009</v>
      </c>
      <c r="H61" s="62" t="s">
        <v>209</v>
      </c>
      <c r="I61" s="61">
        <f>D61*F61</f>
        <v>88.970626425000006</v>
      </c>
      <c r="J61" s="111">
        <f>D61*G61</f>
        <v>50.446697250000014</v>
      </c>
      <c r="L61" s="38"/>
      <c r="M61" s="318" t="s">
        <v>138</v>
      </c>
      <c r="N61" s="318"/>
      <c r="O61" s="33">
        <f>((O52*T52)+(O53*R52))</f>
        <v>10.545000000000002</v>
      </c>
      <c r="P61" s="73" t="s">
        <v>208</v>
      </c>
      <c r="Q61" s="33">
        <f>'3.Riepilogo carichi unitari'!$H$7</f>
        <v>10.95495</v>
      </c>
      <c r="R61" s="33">
        <f>'3.Riepilogo carichi unitari'!$J$7</f>
        <v>6.2115000000000009</v>
      </c>
      <c r="S61" s="62" t="s">
        <v>209</v>
      </c>
      <c r="T61" s="61">
        <f>O61*Q61</f>
        <v>115.51994775000001</v>
      </c>
      <c r="U61" s="111">
        <f>O61*R61</f>
        <v>65.500267500000021</v>
      </c>
    </row>
    <row r="62" spans="1:21" ht="17.25">
      <c r="A62" s="38"/>
      <c r="B62" s="318" t="s">
        <v>137</v>
      </c>
      <c r="C62" s="318"/>
      <c r="D62" s="33"/>
      <c r="E62" s="73" t="s">
        <v>208</v>
      </c>
      <c r="F62" s="33">
        <f>'3.Riepilogo carichi unitari'!$H$7</f>
        <v>10.95495</v>
      </c>
      <c r="G62" s="33">
        <f>'3.Riepilogo carichi unitari'!$J$7</f>
        <v>6.2115000000000009</v>
      </c>
      <c r="H62" s="62" t="s">
        <v>209</v>
      </c>
      <c r="I62" s="61"/>
      <c r="J62" s="111"/>
      <c r="L62" s="38"/>
      <c r="M62" s="318" t="s">
        <v>137</v>
      </c>
      <c r="N62" s="318"/>
      <c r="O62" s="33">
        <f>O53*T52</f>
        <v>3.4225000000000003</v>
      </c>
      <c r="P62" s="73" t="s">
        <v>208</v>
      </c>
      <c r="Q62" s="33">
        <f>'3.Riepilogo carichi unitari'!$H$7</f>
        <v>10.95495</v>
      </c>
      <c r="R62" s="33">
        <f>'3.Riepilogo carichi unitari'!$J$7</f>
        <v>6.2115000000000009</v>
      </c>
      <c r="S62" s="62" t="s">
        <v>209</v>
      </c>
      <c r="T62" s="61">
        <f>O62*Q62</f>
        <v>37.493316375000006</v>
      </c>
      <c r="U62" s="111">
        <f>O62*R62</f>
        <v>21.258858750000005</v>
      </c>
    </row>
    <row r="63" spans="1:21" ht="17.25">
      <c r="A63" s="38"/>
      <c r="B63" s="318" t="s">
        <v>136</v>
      </c>
      <c r="C63" s="318"/>
      <c r="D63" s="33"/>
      <c r="E63" s="73" t="s">
        <v>208</v>
      </c>
      <c r="F63" s="33">
        <f>'3.Riepilogo carichi unitari'!$H$8</f>
        <v>15.237165368783602</v>
      </c>
      <c r="G63" s="33">
        <f>'3.Riepilogo carichi unitari'!$J$8</f>
        <v>9.5055118221412318</v>
      </c>
      <c r="H63" s="62" t="s">
        <v>210</v>
      </c>
      <c r="I63" s="61"/>
      <c r="J63" s="111"/>
      <c r="L63" s="38"/>
      <c r="M63" s="318" t="s">
        <v>136</v>
      </c>
      <c r="N63" s="318"/>
      <c r="O63" s="33"/>
      <c r="P63" s="73" t="s">
        <v>208</v>
      </c>
      <c r="Q63" s="33">
        <f>'3.Riepilogo carichi unitari'!$H$8</f>
        <v>15.237165368783602</v>
      </c>
      <c r="R63" s="33">
        <f>'3.Riepilogo carichi unitari'!$J$8</f>
        <v>9.5055118221412318</v>
      </c>
      <c r="S63" s="62" t="s">
        <v>210</v>
      </c>
      <c r="T63" s="61"/>
      <c r="U63" s="111"/>
    </row>
    <row r="64" spans="1:21">
      <c r="A64" s="38"/>
      <c r="B64" s="318" t="s">
        <v>123</v>
      </c>
      <c r="C64" s="318"/>
      <c r="D64" s="33">
        <f>(E55*D52)+(E56*D53)</f>
        <v>4.6399999999999997</v>
      </c>
      <c r="E64" s="73" t="s">
        <v>34</v>
      </c>
      <c r="F64" s="33">
        <f>'3.Riepilogo carichi unitari'!$H$11</f>
        <v>7.8416000000000015</v>
      </c>
      <c r="G64" s="33">
        <f>'3.Riepilogo carichi unitari'!$J$11</f>
        <v>6.0320000000000009</v>
      </c>
      <c r="H64" s="62" t="s">
        <v>102</v>
      </c>
      <c r="I64" s="61">
        <f t="shared" ref="I64:I65" si="8">D64*F64</f>
        <v>36.385024000000001</v>
      </c>
      <c r="J64" s="111">
        <f t="shared" ref="J64:J65" si="9">D64*G64</f>
        <v>27.988480000000003</v>
      </c>
      <c r="L64" s="38"/>
      <c r="M64" s="318" t="s">
        <v>123</v>
      </c>
      <c r="N64" s="318"/>
      <c r="O64" s="33">
        <f>(P55*R52)+(P55*(O52+0.15))</f>
        <v>5.85</v>
      </c>
      <c r="P64" s="73" t="s">
        <v>34</v>
      </c>
      <c r="Q64" s="33">
        <f>'3.Riepilogo carichi unitari'!$H$11</f>
        <v>7.8416000000000015</v>
      </c>
      <c r="R64" s="33">
        <f>'3.Riepilogo carichi unitari'!$J$11</f>
        <v>6.0320000000000009</v>
      </c>
      <c r="S64" s="62" t="s">
        <v>102</v>
      </c>
      <c r="T64" s="61">
        <f t="shared" ref="T64:T65" si="10">O64*Q64</f>
        <v>45.873360000000005</v>
      </c>
      <c r="U64" s="111">
        <f t="shared" ref="U64:U65" si="11">O64*R64</f>
        <v>35.287200000000006</v>
      </c>
    </row>
    <row r="65" spans="1:21">
      <c r="A65" s="38"/>
      <c r="B65" s="318" t="s">
        <v>135</v>
      </c>
      <c r="C65" s="318"/>
      <c r="D65" s="33">
        <f>(E55*D52)+(E56*D53)+(G52)</f>
        <v>6.99</v>
      </c>
      <c r="E65" s="73" t="s">
        <v>34</v>
      </c>
      <c r="F65" s="33">
        <f>'3.Riepilogo carichi unitari'!$H$9</f>
        <v>5.184075</v>
      </c>
      <c r="G65" s="33">
        <f>'3.Riepilogo carichi unitari'!$J$9</f>
        <v>3.9877500000000001</v>
      </c>
      <c r="H65" s="62" t="s">
        <v>102</v>
      </c>
      <c r="I65" s="61">
        <f t="shared" si="8"/>
        <v>36.236684250000003</v>
      </c>
      <c r="J65" s="111">
        <f t="shared" si="9"/>
        <v>27.874372500000003</v>
      </c>
      <c r="L65" s="38"/>
      <c r="M65" s="318" t="s">
        <v>135</v>
      </c>
      <c r="N65" s="318"/>
      <c r="O65" s="33">
        <f>(P55*R52)+(P55*(O52+0.15))</f>
        <v>5.85</v>
      </c>
      <c r="P65" s="73" t="s">
        <v>34</v>
      </c>
      <c r="Q65" s="33">
        <f>'3.Riepilogo carichi unitari'!$H$9</f>
        <v>5.184075</v>
      </c>
      <c r="R65" s="33">
        <f>'3.Riepilogo carichi unitari'!$J$9</f>
        <v>3.9877500000000001</v>
      </c>
      <c r="S65" s="62" t="s">
        <v>102</v>
      </c>
      <c r="T65" s="61">
        <f t="shared" si="10"/>
        <v>30.326838749999997</v>
      </c>
      <c r="U65" s="111">
        <f t="shared" si="11"/>
        <v>23.3283375</v>
      </c>
    </row>
    <row r="66" spans="1:21">
      <c r="A66" s="38"/>
      <c r="B66" s="318" t="s">
        <v>134</v>
      </c>
      <c r="C66" s="318"/>
      <c r="D66" s="33"/>
      <c r="E66" s="73" t="s">
        <v>34</v>
      </c>
      <c r="F66" s="33">
        <f>'3.Riepilogo carichi unitari'!$H$10</f>
        <v>2.3026249999999999</v>
      </c>
      <c r="G66" s="33">
        <f>'3.Riepilogo carichi unitari'!$J$10</f>
        <v>1.7712499999999998</v>
      </c>
      <c r="H66" s="62" t="s">
        <v>102</v>
      </c>
      <c r="I66" s="61"/>
      <c r="J66" s="111"/>
      <c r="L66" s="38"/>
      <c r="M66" s="318" t="s">
        <v>134</v>
      </c>
      <c r="N66" s="318"/>
      <c r="O66" s="33"/>
      <c r="P66" s="73" t="s">
        <v>34</v>
      </c>
      <c r="Q66" s="33">
        <f>'3.Riepilogo carichi unitari'!$H$10</f>
        <v>2.3026249999999999</v>
      </c>
      <c r="R66" s="33">
        <f>'3.Riepilogo carichi unitari'!$J$10</f>
        <v>1.7712499999999998</v>
      </c>
      <c r="S66" s="62" t="s">
        <v>102</v>
      </c>
      <c r="T66" s="61"/>
      <c r="U66" s="111"/>
    </row>
    <row r="67" spans="1:21">
      <c r="A67" s="38"/>
      <c r="B67" s="328" t="s">
        <v>133</v>
      </c>
      <c r="C67" s="328"/>
      <c r="D67" s="325"/>
      <c r="E67" s="325"/>
      <c r="F67" s="325"/>
      <c r="G67" s="325"/>
      <c r="H67" s="325"/>
      <c r="I67" s="61">
        <f>SUM(I60:I66)</f>
        <v>274.76440547499999</v>
      </c>
      <c r="J67" s="111">
        <f>SUM(J60:J66)</f>
        <v>172.73126575000001</v>
      </c>
      <c r="L67" s="38"/>
      <c r="M67" s="328" t="s">
        <v>133</v>
      </c>
      <c r="N67" s="328"/>
      <c r="O67" s="325"/>
      <c r="P67" s="325"/>
      <c r="Q67" s="325"/>
      <c r="R67" s="325"/>
      <c r="S67" s="325"/>
      <c r="T67" s="61">
        <f>SUM(T60:T66)</f>
        <v>312.24506287499997</v>
      </c>
      <c r="U67" s="111">
        <f>SUM(U60:U66)</f>
        <v>194.10666375000005</v>
      </c>
    </row>
    <row r="68" spans="1:21">
      <c r="A68" s="38"/>
      <c r="B68" s="31"/>
      <c r="C68" s="31"/>
      <c r="D68" s="31"/>
      <c r="E68" s="31"/>
      <c r="F68" s="393" t="s">
        <v>186</v>
      </c>
      <c r="G68" s="394"/>
      <c r="H68" s="393" t="s">
        <v>178</v>
      </c>
      <c r="I68" s="394"/>
      <c r="J68" s="32"/>
      <c r="L68" s="38"/>
      <c r="M68" s="31"/>
      <c r="N68" s="31"/>
      <c r="O68" s="31"/>
      <c r="P68" s="31"/>
      <c r="Q68" s="393" t="s">
        <v>186</v>
      </c>
      <c r="R68" s="394"/>
      <c r="S68" s="393" t="s">
        <v>178</v>
      </c>
      <c r="T68" s="394"/>
      <c r="U68" s="32"/>
    </row>
    <row r="69" spans="1:21">
      <c r="A69" s="330" t="s">
        <v>212</v>
      </c>
      <c r="B69" s="395"/>
      <c r="C69" s="395"/>
      <c r="D69" s="395"/>
      <c r="E69" s="395"/>
      <c r="F69" s="61">
        <f>I67</f>
        <v>274.76440547499999</v>
      </c>
      <c r="G69" s="74" t="s">
        <v>132</v>
      </c>
      <c r="H69" s="61">
        <f>J67</f>
        <v>172.73126575000001</v>
      </c>
      <c r="I69" s="74" t="s">
        <v>132</v>
      </c>
      <c r="J69" s="115"/>
      <c r="L69" s="330" t="s">
        <v>212</v>
      </c>
      <c r="M69" s="395"/>
      <c r="N69" s="395"/>
      <c r="O69" s="395"/>
      <c r="P69" s="395"/>
      <c r="Q69" s="61">
        <f>T67</f>
        <v>312.24506287499997</v>
      </c>
      <c r="R69" s="74" t="s">
        <v>132</v>
      </c>
      <c r="S69" s="61">
        <f>U67</f>
        <v>194.10666375000005</v>
      </c>
      <c r="T69" s="74" t="s">
        <v>132</v>
      </c>
      <c r="U69" s="115"/>
    </row>
    <row r="70" spans="1:21" ht="15.75">
      <c r="A70" s="396" t="s">
        <v>211</v>
      </c>
      <c r="B70" s="397"/>
      <c r="C70" s="397"/>
      <c r="D70" s="397"/>
      <c r="E70" s="397"/>
      <c r="F70" s="106">
        <f>F69*1.06</f>
        <v>291.25026980349998</v>
      </c>
      <c r="G70" s="107" t="s">
        <v>132</v>
      </c>
      <c r="H70" s="106">
        <f>H69*1.06</f>
        <v>183.09514169500002</v>
      </c>
      <c r="I70" s="107" t="s">
        <v>132</v>
      </c>
      <c r="J70" s="32"/>
      <c r="L70" s="396" t="s">
        <v>211</v>
      </c>
      <c r="M70" s="397"/>
      <c r="N70" s="397"/>
      <c r="O70" s="397"/>
      <c r="P70" s="397"/>
      <c r="Q70" s="106">
        <f>Q69*1.06</f>
        <v>330.97976664750001</v>
      </c>
      <c r="R70" s="107" t="s">
        <v>132</v>
      </c>
      <c r="S70" s="106">
        <f>S69*1.06</f>
        <v>205.75306357500006</v>
      </c>
      <c r="T70" s="107" t="s">
        <v>132</v>
      </c>
      <c r="U70" s="32"/>
    </row>
    <row r="71" spans="1:21" ht="15.75">
      <c r="A71" s="60"/>
      <c r="B71" s="76"/>
      <c r="C71" s="76"/>
      <c r="D71" s="400" t="s">
        <v>206</v>
      </c>
      <c r="E71" s="400"/>
      <c r="F71" s="112">
        <f>F70*6</f>
        <v>1747.5016188209997</v>
      </c>
      <c r="G71" s="58" t="s">
        <v>132</v>
      </c>
      <c r="H71" s="112">
        <f>H70*6</f>
        <v>1098.5708501700001</v>
      </c>
      <c r="I71" s="58" t="s">
        <v>132</v>
      </c>
      <c r="J71" s="116"/>
      <c r="L71" s="60"/>
      <c r="M71" s="76"/>
      <c r="N71" s="76"/>
      <c r="O71" s="400" t="s">
        <v>206</v>
      </c>
      <c r="P71" s="400"/>
      <c r="Q71" s="112">
        <f>Q70*6</f>
        <v>1985.8785998850001</v>
      </c>
      <c r="R71" s="58" t="s">
        <v>132</v>
      </c>
      <c r="S71" s="112">
        <f>S70*6</f>
        <v>1234.5183814500003</v>
      </c>
      <c r="T71" s="58" t="s">
        <v>132</v>
      </c>
      <c r="U71" s="116"/>
    </row>
    <row r="72" spans="1:21">
      <c r="A72" s="38"/>
      <c r="B72" s="325"/>
      <c r="C72" s="325"/>
      <c r="D72" s="325"/>
      <c r="E72" s="325"/>
      <c r="F72" s="61"/>
      <c r="G72" s="15"/>
      <c r="H72" s="31"/>
      <c r="I72" s="31"/>
      <c r="J72" s="31"/>
      <c r="K72" s="31"/>
      <c r="L72" s="31"/>
      <c r="M72" s="325"/>
      <c r="N72" s="325"/>
      <c r="O72" s="325"/>
      <c r="P72" s="325"/>
      <c r="Q72" s="61"/>
      <c r="R72" s="15"/>
      <c r="S72" s="31"/>
      <c r="T72" s="31"/>
      <c r="U72" s="32"/>
    </row>
    <row r="73" spans="1:21">
      <c r="A73" s="380" t="s">
        <v>229</v>
      </c>
      <c r="B73" s="381"/>
      <c r="C73" s="381"/>
      <c r="D73" s="381"/>
      <c r="E73" s="381"/>
      <c r="F73" s="381"/>
      <c r="G73" s="381"/>
      <c r="H73" s="381"/>
      <c r="I73" s="381"/>
      <c r="J73" s="382"/>
      <c r="L73" s="380" t="s">
        <v>222</v>
      </c>
      <c r="M73" s="381"/>
      <c r="N73" s="381"/>
      <c r="O73" s="381"/>
      <c r="P73" s="381"/>
      <c r="Q73" s="381"/>
      <c r="R73" s="381"/>
      <c r="S73" s="381"/>
      <c r="T73" s="381"/>
      <c r="U73" s="382"/>
    </row>
    <row r="74" spans="1:21" ht="8.25" customHeight="1">
      <c r="A74" s="383"/>
      <c r="B74" s="384"/>
      <c r="C74" s="384"/>
      <c r="D74" s="384"/>
      <c r="E74" s="384"/>
      <c r="F74" s="384"/>
      <c r="G74" s="384"/>
      <c r="H74" s="384"/>
      <c r="I74" s="384"/>
      <c r="J74" s="385"/>
      <c r="L74" s="383"/>
      <c r="M74" s="384"/>
      <c r="N74" s="384"/>
      <c r="O74" s="384"/>
      <c r="P74" s="384"/>
      <c r="Q74" s="384"/>
      <c r="R74" s="384"/>
      <c r="S74" s="384"/>
      <c r="T74" s="384"/>
      <c r="U74" s="385"/>
    </row>
    <row r="75" spans="1:21">
      <c r="A75" s="38"/>
      <c r="B75" s="31"/>
      <c r="C75" s="325" t="s">
        <v>213</v>
      </c>
      <c r="D75" s="325"/>
      <c r="E75" s="31"/>
      <c r="F75" s="325" t="s">
        <v>214</v>
      </c>
      <c r="G75" s="325"/>
      <c r="I75" s="325" t="s">
        <v>109</v>
      </c>
      <c r="J75" s="336"/>
      <c r="L75" s="38"/>
      <c r="M75" s="31"/>
      <c r="N75" s="325" t="s">
        <v>213</v>
      </c>
      <c r="O75" s="325"/>
      <c r="P75" s="31"/>
      <c r="Q75" s="325" t="s">
        <v>214</v>
      </c>
      <c r="R75" s="325"/>
      <c r="T75" s="325" t="s">
        <v>109</v>
      </c>
      <c r="U75" s="336"/>
    </row>
    <row r="76" spans="1:21" ht="15" customHeight="1">
      <c r="A76" s="392" t="s">
        <v>147</v>
      </c>
      <c r="B76" s="117" t="s">
        <v>215</v>
      </c>
      <c r="C76" s="33">
        <v>4.62</v>
      </c>
      <c r="D76" s="63">
        <f>C76/2</f>
        <v>2.31</v>
      </c>
      <c r="E76" s="117" t="s">
        <v>217</v>
      </c>
      <c r="F76" s="33">
        <v>4.6500000000000004</v>
      </c>
      <c r="G76" s="63">
        <f>F76/2</f>
        <v>2.3250000000000002</v>
      </c>
      <c r="I76" s="63">
        <v>1.85</v>
      </c>
      <c r="J76" s="32" t="s">
        <v>34</v>
      </c>
      <c r="L76" s="392" t="s">
        <v>147</v>
      </c>
      <c r="M76" s="117" t="s">
        <v>225</v>
      </c>
      <c r="N76" s="33">
        <v>4.62</v>
      </c>
      <c r="O76" s="63">
        <f>N76/2</f>
        <v>2.31</v>
      </c>
      <c r="P76" s="117" t="s">
        <v>217</v>
      </c>
      <c r="Q76" s="33">
        <v>5.85</v>
      </c>
      <c r="R76" s="63">
        <f>Q76/2</f>
        <v>2.9249999999999998</v>
      </c>
      <c r="T76" s="63" t="s">
        <v>120</v>
      </c>
      <c r="U76" s="32" t="s">
        <v>34</v>
      </c>
    </row>
    <row r="77" spans="1:21">
      <c r="A77" s="392"/>
      <c r="B77" s="117" t="s">
        <v>216</v>
      </c>
      <c r="C77" s="33">
        <v>3.78</v>
      </c>
      <c r="D77" s="63">
        <f>C77/2</f>
        <v>1.89</v>
      </c>
      <c r="E77" s="117" t="s">
        <v>218</v>
      </c>
      <c r="I77" s="31"/>
      <c r="J77" s="32"/>
      <c r="L77" s="392"/>
      <c r="M77" s="117" t="s">
        <v>226</v>
      </c>
      <c r="N77" s="33">
        <v>3.78</v>
      </c>
      <c r="O77" s="63">
        <f>N77/2</f>
        <v>1.89</v>
      </c>
      <c r="P77" s="117" t="s">
        <v>218</v>
      </c>
      <c r="Q77" s="33">
        <v>4.6500000000000004</v>
      </c>
      <c r="R77" s="63">
        <f>Q77/2</f>
        <v>2.3250000000000002</v>
      </c>
      <c r="T77" s="31"/>
      <c r="U77" s="32"/>
    </row>
    <row r="78" spans="1:21">
      <c r="A78" s="38"/>
      <c r="B78" s="31"/>
      <c r="C78" s="31"/>
      <c r="D78" s="31"/>
      <c r="E78" s="31"/>
      <c r="F78" s="31"/>
      <c r="G78" s="31"/>
      <c r="H78" s="31"/>
      <c r="I78" s="31"/>
      <c r="J78" s="32"/>
      <c r="L78" s="38"/>
      <c r="M78" s="117" t="s">
        <v>227</v>
      </c>
      <c r="N78" s="33"/>
      <c r="O78" s="63">
        <v>2.5</v>
      </c>
      <c r="P78" s="31"/>
      <c r="Q78" s="31"/>
      <c r="R78" s="31"/>
      <c r="U78" s="32"/>
    </row>
    <row r="79" spans="1:21" ht="15" customHeight="1">
      <c r="A79" s="399" t="s">
        <v>115</v>
      </c>
      <c r="B79" s="329" t="s">
        <v>204</v>
      </c>
      <c r="C79" s="329"/>
      <c r="D79" s="329"/>
      <c r="E79" s="99">
        <v>1</v>
      </c>
      <c r="F79" s="51"/>
      <c r="G79" s="51"/>
      <c r="H79" s="51"/>
      <c r="I79" s="51"/>
      <c r="J79" s="50"/>
      <c r="L79" s="38"/>
      <c r="M79" s="117" t="s">
        <v>228</v>
      </c>
      <c r="N79" s="33"/>
      <c r="O79" s="63">
        <v>2.6</v>
      </c>
      <c r="Q79" s="51"/>
      <c r="R79" s="51"/>
      <c r="S79" s="51"/>
      <c r="T79" s="51"/>
      <c r="U79" s="50"/>
    </row>
    <row r="80" spans="1:21" ht="15.75" customHeight="1">
      <c r="A80" s="399"/>
      <c r="B80" s="329"/>
      <c r="C80" s="329"/>
      <c r="D80" s="329"/>
      <c r="E80" s="99">
        <v>1.1000000000000001</v>
      </c>
      <c r="F80" s="51"/>
      <c r="G80" s="51"/>
      <c r="H80" s="51"/>
      <c r="I80" s="51"/>
      <c r="J80" s="50"/>
      <c r="L80" s="399" t="s">
        <v>115</v>
      </c>
      <c r="M80" s="329" t="s">
        <v>204</v>
      </c>
      <c r="N80" s="329"/>
      <c r="O80" s="329"/>
      <c r="P80" s="99">
        <v>1</v>
      </c>
      <c r="T80" s="51"/>
      <c r="U80" s="50"/>
    </row>
    <row r="81" spans="1:21" ht="15" customHeight="1">
      <c r="A81" s="399"/>
      <c r="B81" s="329"/>
      <c r="C81" s="329"/>
      <c r="D81" s="329"/>
      <c r="E81" s="99">
        <v>1.2</v>
      </c>
      <c r="F81" s="51"/>
      <c r="G81" s="51"/>
      <c r="H81" s="51"/>
      <c r="I81" s="51"/>
      <c r="J81" s="50"/>
      <c r="L81" s="399"/>
      <c r="M81" s="329"/>
      <c r="N81" s="329"/>
      <c r="O81" s="329"/>
      <c r="P81" s="99">
        <v>1.1000000000000001</v>
      </c>
      <c r="T81" s="51"/>
      <c r="U81" s="50"/>
    </row>
    <row r="82" spans="1:21">
      <c r="A82" s="38"/>
      <c r="B82" s="31"/>
      <c r="C82" s="31"/>
      <c r="D82" s="31"/>
      <c r="E82" s="31"/>
      <c r="F82" s="31"/>
      <c r="G82" s="31"/>
      <c r="H82" s="31"/>
      <c r="I82" s="31"/>
      <c r="J82" s="32"/>
      <c r="L82" s="399"/>
      <c r="M82" s="329"/>
      <c r="N82" s="329"/>
      <c r="O82" s="329"/>
      <c r="P82" s="99">
        <v>1.2</v>
      </c>
      <c r="T82" s="31"/>
      <c r="U82" s="32"/>
    </row>
    <row r="83" spans="1:21" ht="33">
      <c r="A83" s="38"/>
      <c r="B83" s="379" t="s">
        <v>142</v>
      </c>
      <c r="C83" s="379"/>
      <c r="D83" s="109"/>
      <c r="E83" s="93" t="s">
        <v>140</v>
      </c>
      <c r="F83" s="94" t="s">
        <v>141</v>
      </c>
      <c r="G83" s="113" t="s">
        <v>207</v>
      </c>
      <c r="H83" s="93" t="s">
        <v>140</v>
      </c>
      <c r="I83" s="89" t="s">
        <v>205</v>
      </c>
      <c r="J83" s="110" t="s">
        <v>181</v>
      </c>
      <c r="L83" s="38"/>
      <c r="M83" s="379" t="s">
        <v>142</v>
      </c>
      <c r="N83" s="379"/>
      <c r="O83" s="109"/>
      <c r="P83" s="93" t="s">
        <v>140</v>
      </c>
      <c r="Q83" s="94" t="s">
        <v>141</v>
      </c>
      <c r="R83" s="113" t="s">
        <v>207</v>
      </c>
      <c r="S83" s="93" t="s">
        <v>140</v>
      </c>
      <c r="T83" s="89" t="s">
        <v>205</v>
      </c>
      <c r="U83" s="110" t="s">
        <v>181</v>
      </c>
    </row>
    <row r="84" spans="1:21" ht="17.25">
      <c r="A84" s="38"/>
      <c r="B84" s="318" t="s">
        <v>139</v>
      </c>
      <c r="C84" s="318"/>
      <c r="D84" s="108">
        <f>((E79*D76)*(E79*G76))+((E79*D77)*(E79*G76))</f>
        <v>9.7650000000000006</v>
      </c>
      <c r="E84" s="114" t="s">
        <v>208</v>
      </c>
      <c r="F84" s="33">
        <f>'3.Riepilogo carichi unitari'!$H$4</f>
        <v>10.37895</v>
      </c>
      <c r="G84" s="33">
        <f>'3.Riepilogo carichi unitari'!$J$4</f>
        <v>6.0914999999999999</v>
      </c>
      <c r="H84" s="62" t="s">
        <v>209</v>
      </c>
      <c r="I84" s="61">
        <f>D84*F84</f>
        <v>101.35044675</v>
      </c>
      <c r="J84" s="111">
        <f>D84*G84</f>
        <v>59.483497500000006</v>
      </c>
      <c r="L84" s="38"/>
      <c r="M84" s="318" t="s">
        <v>139</v>
      </c>
      <c r="N84" s="318"/>
      <c r="O84" s="108">
        <f>((P80*O76)*(P81*R77))+((P80*O77)*(P81*R77))+((P80*O78)*(P80*R76))+((P80*O79)*(P80*R76))</f>
        <v>25.659000000000002</v>
      </c>
      <c r="P84" s="114" t="s">
        <v>208</v>
      </c>
      <c r="Q84" s="33">
        <f>'3.Riepilogo carichi unitari'!$H$4</f>
        <v>10.37895</v>
      </c>
      <c r="R84" s="33">
        <f>'3.Riepilogo carichi unitari'!$J$4</f>
        <v>6.0914999999999999</v>
      </c>
      <c r="S84" s="62" t="s">
        <v>209</v>
      </c>
      <c r="T84" s="61">
        <f>O84*Q84</f>
        <v>266.31347805000001</v>
      </c>
      <c r="U84" s="111">
        <f>O84*R84</f>
        <v>156.30179850000002</v>
      </c>
    </row>
    <row r="85" spans="1:21" ht="17.25">
      <c r="A85" s="38"/>
      <c r="B85" s="318" t="s">
        <v>138</v>
      </c>
      <c r="C85" s="318"/>
      <c r="D85" s="33">
        <f>((D76)*I76)+(D77*(I76))</f>
        <v>7.7700000000000005</v>
      </c>
      <c r="E85" s="93" t="s">
        <v>208</v>
      </c>
      <c r="F85" s="33">
        <f>'3.Riepilogo carichi unitari'!$H$7</f>
        <v>10.95495</v>
      </c>
      <c r="G85" s="33">
        <f>'3.Riepilogo carichi unitari'!$J$7</f>
        <v>6.2115000000000009</v>
      </c>
      <c r="H85" s="62" t="s">
        <v>209</v>
      </c>
      <c r="I85" s="61">
        <f>D85*F85</f>
        <v>85.119961500000002</v>
      </c>
      <c r="J85" s="111">
        <f>D85*G85</f>
        <v>48.263355000000011</v>
      </c>
      <c r="L85" s="38"/>
      <c r="M85" s="318" t="s">
        <v>138</v>
      </c>
      <c r="N85" s="318"/>
      <c r="O85" s="33"/>
      <c r="P85" s="93" t="s">
        <v>208</v>
      </c>
      <c r="Q85" s="33">
        <f>'3.Riepilogo carichi unitari'!$H$7</f>
        <v>10.95495</v>
      </c>
      <c r="R85" s="33">
        <f>'3.Riepilogo carichi unitari'!$J$7</f>
        <v>6.2115000000000009</v>
      </c>
      <c r="S85" s="62" t="s">
        <v>209</v>
      </c>
      <c r="T85" s="61"/>
      <c r="U85" s="111"/>
    </row>
    <row r="86" spans="1:21" ht="17.25">
      <c r="A86" s="38"/>
      <c r="B86" s="318" t="s">
        <v>137</v>
      </c>
      <c r="C86" s="318"/>
      <c r="D86" s="33"/>
      <c r="E86" s="93" t="s">
        <v>208</v>
      </c>
      <c r="F86" s="33">
        <f>'3.Riepilogo carichi unitari'!$H$7</f>
        <v>10.95495</v>
      </c>
      <c r="G86" s="33">
        <f>'3.Riepilogo carichi unitari'!$J$7</f>
        <v>6.2115000000000009</v>
      </c>
      <c r="H86" s="62" t="s">
        <v>209</v>
      </c>
      <c r="I86" s="61"/>
      <c r="J86" s="111"/>
      <c r="L86" s="38"/>
      <c r="M86" s="318" t="s">
        <v>137</v>
      </c>
      <c r="N86" s="318"/>
      <c r="O86" s="33"/>
      <c r="P86" s="93" t="s">
        <v>208</v>
      </c>
      <c r="Q86" s="33">
        <f>'3.Riepilogo carichi unitari'!$H$7</f>
        <v>10.95495</v>
      </c>
      <c r="R86" s="33">
        <f>'3.Riepilogo carichi unitari'!$J$7</f>
        <v>6.2115000000000009</v>
      </c>
      <c r="S86" s="62" t="s">
        <v>209</v>
      </c>
      <c r="T86" s="61"/>
      <c r="U86" s="111"/>
    </row>
    <row r="87" spans="1:21" ht="17.25">
      <c r="A87" s="38"/>
      <c r="B87" s="318" t="s">
        <v>136</v>
      </c>
      <c r="C87" s="318"/>
      <c r="D87" s="33"/>
      <c r="E87" s="93" t="s">
        <v>208</v>
      </c>
      <c r="F87" s="33">
        <f>'3.Riepilogo carichi unitari'!$H$8</f>
        <v>15.237165368783602</v>
      </c>
      <c r="G87" s="33">
        <f>'3.Riepilogo carichi unitari'!$J$8</f>
        <v>9.5055118221412318</v>
      </c>
      <c r="H87" s="62" t="s">
        <v>210</v>
      </c>
      <c r="I87" s="61"/>
      <c r="J87" s="111"/>
      <c r="L87" s="38"/>
      <c r="M87" s="318" t="s">
        <v>136</v>
      </c>
      <c r="N87" s="318"/>
      <c r="O87" s="33"/>
      <c r="P87" s="93" t="s">
        <v>208</v>
      </c>
      <c r="Q87" s="33">
        <f>'3.Riepilogo carichi unitari'!$H$8</f>
        <v>15.237165368783602</v>
      </c>
      <c r="R87" s="33">
        <f>'3.Riepilogo carichi unitari'!$J$8</f>
        <v>9.5055118221412318</v>
      </c>
      <c r="S87" s="62" t="s">
        <v>210</v>
      </c>
      <c r="T87" s="61"/>
      <c r="U87" s="111"/>
    </row>
    <row r="88" spans="1:21">
      <c r="A88" s="38"/>
      <c r="B88" s="318" t="s">
        <v>123</v>
      </c>
      <c r="C88" s="318"/>
      <c r="D88" s="33">
        <f>(E79*D76)+(E79*D77)</f>
        <v>4.2</v>
      </c>
      <c r="E88" s="93" t="s">
        <v>34</v>
      </c>
      <c r="F88" s="33">
        <f>'3.Riepilogo carichi unitari'!$H$11</f>
        <v>7.8416000000000015</v>
      </c>
      <c r="G88" s="33">
        <f>'3.Riepilogo carichi unitari'!$J$11</f>
        <v>6.0320000000000009</v>
      </c>
      <c r="H88" s="62" t="s">
        <v>102</v>
      </c>
      <c r="I88" s="61">
        <f t="shared" ref="I88:I89" si="12">D88*F88</f>
        <v>32.934720000000006</v>
      </c>
      <c r="J88" s="111">
        <f t="shared" ref="J88:J89" si="13">D88*G88</f>
        <v>25.334400000000006</v>
      </c>
      <c r="L88" s="38"/>
      <c r="M88" s="318" t="s">
        <v>123</v>
      </c>
      <c r="N88" s="318"/>
      <c r="O88" s="33"/>
      <c r="P88" s="93" t="s">
        <v>34</v>
      </c>
      <c r="Q88" s="33">
        <f>'3.Riepilogo carichi unitari'!$H$11</f>
        <v>7.8416000000000015</v>
      </c>
      <c r="R88" s="33">
        <f>'3.Riepilogo carichi unitari'!$J$11</f>
        <v>6.0320000000000009</v>
      </c>
      <c r="S88" s="62" t="s">
        <v>102</v>
      </c>
      <c r="T88" s="61"/>
      <c r="U88" s="111"/>
    </row>
    <row r="89" spans="1:21">
      <c r="A89" s="38"/>
      <c r="B89" s="318" t="s">
        <v>135</v>
      </c>
      <c r="C89" s="318"/>
      <c r="D89" s="33">
        <f>(E79*D76)+(E79*D77)+(G76)</f>
        <v>6.5250000000000004</v>
      </c>
      <c r="E89" s="93" t="s">
        <v>34</v>
      </c>
      <c r="F89" s="33">
        <f>'3.Riepilogo carichi unitari'!$H$9</f>
        <v>5.184075</v>
      </c>
      <c r="G89" s="33">
        <f>'3.Riepilogo carichi unitari'!$J$9</f>
        <v>3.9877500000000001</v>
      </c>
      <c r="H89" s="62" t="s">
        <v>102</v>
      </c>
      <c r="I89" s="61">
        <f t="shared" si="12"/>
        <v>33.826089375000002</v>
      </c>
      <c r="J89" s="111">
        <f t="shared" si="13"/>
        <v>26.020068750000004</v>
      </c>
      <c r="L89" s="38"/>
      <c r="M89" s="318" t="s">
        <v>135</v>
      </c>
      <c r="N89" s="318"/>
      <c r="O89" s="33">
        <f>P81*R77+P80*R76</f>
        <v>5.4824999999999999</v>
      </c>
      <c r="P89" s="93" t="s">
        <v>34</v>
      </c>
      <c r="Q89" s="33">
        <f>'3.Riepilogo carichi unitari'!$H$9</f>
        <v>5.184075</v>
      </c>
      <c r="R89" s="33">
        <f>'3.Riepilogo carichi unitari'!$J$9</f>
        <v>3.9877500000000001</v>
      </c>
      <c r="S89" s="62" t="s">
        <v>102</v>
      </c>
      <c r="T89" s="61">
        <f t="shared" ref="T89:T90" si="14">O89*Q89</f>
        <v>28.421691187499999</v>
      </c>
      <c r="U89" s="111">
        <f t="shared" ref="U89:U90" si="15">O89*R89</f>
        <v>21.862839375</v>
      </c>
    </row>
    <row r="90" spans="1:21">
      <c r="A90" s="38"/>
      <c r="B90" s="318" t="s">
        <v>134</v>
      </c>
      <c r="C90" s="318"/>
      <c r="D90" s="33"/>
      <c r="E90" s="93" t="s">
        <v>34</v>
      </c>
      <c r="F90" s="33">
        <f>'3.Riepilogo carichi unitari'!$H$10</f>
        <v>2.3026249999999999</v>
      </c>
      <c r="G90" s="33">
        <f>'3.Riepilogo carichi unitari'!$J$10</f>
        <v>1.7712499999999998</v>
      </c>
      <c r="H90" s="62" t="s">
        <v>102</v>
      </c>
      <c r="I90" s="61"/>
      <c r="J90" s="111"/>
      <c r="L90" s="38"/>
      <c r="M90" s="318" t="s">
        <v>134</v>
      </c>
      <c r="N90" s="318"/>
      <c r="O90" s="33">
        <f>P80*O76+P80*O77</f>
        <v>4.2</v>
      </c>
      <c r="P90" s="93" t="s">
        <v>34</v>
      </c>
      <c r="Q90" s="33">
        <f>'3.Riepilogo carichi unitari'!$H$10</f>
        <v>2.3026249999999999</v>
      </c>
      <c r="R90" s="33">
        <f>'3.Riepilogo carichi unitari'!$J$10</f>
        <v>1.7712499999999998</v>
      </c>
      <c r="S90" s="62" t="s">
        <v>102</v>
      </c>
      <c r="T90" s="61">
        <f t="shared" si="14"/>
        <v>9.6710250000000002</v>
      </c>
      <c r="U90" s="111">
        <f t="shared" si="15"/>
        <v>7.4392499999999995</v>
      </c>
    </row>
    <row r="91" spans="1:21">
      <c r="A91" s="38"/>
      <c r="B91" s="328" t="s">
        <v>133</v>
      </c>
      <c r="C91" s="328"/>
      <c r="D91" s="325"/>
      <c r="E91" s="325"/>
      <c r="F91" s="325"/>
      <c r="G91" s="325"/>
      <c r="H91" s="325"/>
      <c r="I91" s="61">
        <f>SUM(I84:I90)</f>
        <v>253.231217625</v>
      </c>
      <c r="J91" s="111">
        <f>SUM(J84:J90)</f>
        <v>159.10132125000004</v>
      </c>
      <c r="L91" s="38"/>
      <c r="M91" s="328" t="s">
        <v>133</v>
      </c>
      <c r="N91" s="328"/>
      <c r="O91" s="325"/>
      <c r="P91" s="325"/>
      <c r="Q91" s="325"/>
      <c r="R91" s="325"/>
      <c r="S91" s="325"/>
      <c r="T91" s="61">
        <f>SUM(T84:T90)</f>
        <v>304.40619423750002</v>
      </c>
      <c r="U91" s="111">
        <f>SUM(U84:U90)</f>
        <v>185.603887875</v>
      </c>
    </row>
    <row r="92" spans="1:21" ht="15" customHeight="1">
      <c r="A92" s="38"/>
      <c r="B92" s="31"/>
      <c r="C92" s="31"/>
      <c r="D92" s="31"/>
      <c r="E92" s="31"/>
      <c r="F92" s="393" t="s">
        <v>186</v>
      </c>
      <c r="G92" s="394"/>
      <c r="H92" s="393" t="s">
        <v>178</v>
      </c>
      <c r="I92" s="394"/>
      <c r="J92" s="32"/>
      <c r="L92" s="38"/>
      <c r="M92" s="31"/>
      <c r="N92" s="31"/>
      <c r="O92" s="31"/>
      <c r="P92" s="31"/>
      <c r="Q92" s="393" t="s">
        <v>186</v>
      </c>
      <c r="R92" s="394"/>
      <c r="S92" s="393" t="s">
        <v>178</v>
      </c>
      <c r="T92" s="394"/>
      <c r="U92" s="32"/>
    </row>
    <row r="93" spans="1:21">
      <c r="A93" s="330" t="s">
        <v>212</v>
      </c>
      <c r="B93" s="395"/>
      <c r="C93" s="395"/>
      <c r="D93" s="395"/>
      <c r="E93" s="395"/>
      <c r="F93" s="61">
        <f>I91</f>
        <v>253.231217625</v>
      </c>
      <c r="G93" s="94" t="s">
        <v>132</v>
      </c>
      <c r="H93" s="61">
        <f>J91</f>
        <v>159.10132125000004</v>
      </c>
      <c r="I93" s="94" t="s">
        <v>132</v>
      </c>
      <c r="J93" s="115"/>
      <c r="L93" s="330" t="s">
        <v>212</v>
      </c>
      <c r="M93" s="395"/>
      <c r="N93" s="395"/>
      <c r="O93" s="395"/>
      <c r="P93" s="395"/>
      <c r="Q93" s="61">
        <f>T91</f>
        <v>304.40619423750002</v>
      </c>
      <c r="R93" s="94" t="s">
        <v>132</v>
      </c>
      <c r="S93" s="61">
        <f>U91</f>
        <v>185.603887875</v>
      </c>
      <c r="T93" s="94" t="s">
        <v>132</v>
      </c>
      <c r="U93" s="115"/>
    </row>
    <row r="94" spans="1:21" ht="15.75">
      <c r="A94" s="396" t="s">
        <v>211</v>
      </c>
      <c r="B94" s="397"/>
      <c r="C94" s="397"/>
      <c r="D94" s="397"/>
      <c r="E94" s="397"/>
      <c r="F94" s="106">
        <f>F93*1.06</f>
        <v>268.42509068250001</v>
      </c>
      <c r="G94" s="107" t="s">
        <v>132</v>
      </c>
      <c r="H94" s="106">
        <f>H93*1.06</f>
        <v>168.64740052500005</v>
      </c>
      <c r="I94" s="107" t="s">
        <v>132</v>
      </c>
      <c r="J94" s="32"/>
      <c r="L94" s="396" t="s">
        <v>211</v>
      </c>
      <c r="M94" s="397"/>
      <c r="N94" s="397"/>
      <c r="O94" s="397"/>
      <c r="P94" s="397"/>
      <c r="Q94" s="106">
        <f>Q93*1.06</f>
        <v>322.67056589175002</v>
      </c>
      <c r="R94" s="107" t="s">
        <v>132</v>
      </c>
      <c r="S94" s="106">
        <f>S93*1.06</f>
        <v>196.74012114750002</v>
      </c>
      <c r="T94" s="107" t="s">
        <v>132</v>
      </c>
      <c r="U94" s="32"/>
    </row>
    <row r="95" spans="1:21" ht="15.75">
      <c r="A95" s="60"/>
      <c r="B95" s="95"/>
      <c r="C95" s="95"/>
      <c r="D95" s="400" t="s">
        <v>206</v>
      </c>
      <c r="E95" s="400"/>
      <c r="F95" s="112">
        <f>F94*6</f>
        <v>1610.5505440950001</v>
      </c>
      <c r="G95" s="58" t="s">
        <v>132</v>
      </c>
      <c r="H95" s="112">
        <f>H94*6</f>
        <v>1011.8844031500003</v>
      </c>
      <c r="I95" s="58" t="s">
        <v>132</v>
      </c>
      <c r="J95" s="116"/>
      <c r="L95" s="60"/>
      <c r="M95" s="95"/>
      <c r="N95" s="95"/>
      <c r="O95" s="400" t="s">
        <v>206</v>
      </c>
      <c r="P95" s="400"/>
      <c r="Q95" s="112">
        <f>Q94*6</f>
        <v>1936.0233953505001</v>
      </c>
      <c r="R95" s="58" t="s">
        <v>132</v>
      </c>
      <c r="S95" s="112">
        <f>S94*6</f>
        <v>1180.440726885</v>
      </c>
      <c r="T95" s="58" t="s">
        <v>132</v>
      </c>
      <c r="U95" s="116"/>
    </row>
    <row r="96" spans="1:21">
      <c r="A96" s="38"/>
      <c r="B96" s="325"/>
      <c r="C96" s="325"/>
      <c r="D96" s="325"/>
      <c r="E96" s="325"/>
      <c r="F96" s="61"/>
      <c r="G96" s="15"/>
      <c r="H96" s="31"/>
      <c r="I96" s="31"/>
      <c r="J96" s="31"/>
      <c r="K96" s="31"/>
      <c r="L96" s="31"/>
      <c r="M96" s="325"/>
      <c r="N96" s="325"/>
      <c r="O96" s="325"/>
      <c r="P96" s="325"/>
      <c r="Q96" s="61"/>
      <c r="R96" s="15"/>
      <c r="S96" s="31"/>
      <c r="T96" s="31"/>
      <c r="U96" s="32"/>
    </row>
    <row r="97" spans="1:21">
      <c r="A97" s="412" t="s">
        <v>223</v>
      </c>
      <c r="B97" s="413"/>
      <c r="C97" s="413"/>
      <c r="D97" s="413"/>
      <c r="E97" s="413"/>
      <c r="F97" s="413"/>
      <c r="G97" s="413"/>
      <c r="H97" s="413"/>
      <c r="I97" s="413"/>
      <c r="J97" s="414"/>
      <c r="L97" s="380" t="s">
        <v>230</v>
      </c>
      <c r="M97" s="381"/>
      <c r="N97" s="381"/>
      <c r="O97" s="381"/>
      <c r="P97" s="381"/>
      <c r="Q97" s="381"/>
      <c r="R97" s="381"/>
      <c r="S97" s="381"/>
      <c r="T97" s="381"/>
      <c r="U97" s="382"/>
    </row>
    <row r="98" spans="1:21" ht="7.5" customHeight="1">
      <c r="A98" s="415"/>
      <c r="B98" s="416"/>
      <c r="C98" s="416"/>
      <c r="D98" s="416"/>
      <c r="E98" s="416"/>
      <c r="F98" s="416"/>
      <c r="G98" s="416"/>
      <c r="H98" s="416"/>
      <c r="I98" s="416"/>
      <c r="J98" s="417"/>
      <c r="L98" s="383"/>
      <c r="M98" s="384"/>
      <c r="N98" s="384"/>
      <c r="O98" s="384"/>
      <c r="P98" s="384"/>
      <c r="Q98" s="384"/>
      <c r="R98" s="384"/>
      <c r="S98" s="384"/>
      <c r="T98" s="384"/>
      <c r="U98" s="385"/>
    </row>
    <row r="99" spans="1:21">
      <c r="A99" s="38"/>
      <c r="B99" s="31"/>
      <c r="C99" s="325" t="s">
        <v>213</v>
      </c>
      <c r="D99" s="325"/>
      <c r="E99" s="31"/>
      <c r="F99" s="325" t="s">
        <v>214</v>
      </c>
      <c r="G99" s="325"/>
      <c r="I99" s="325" t="s">
        <v>109</v>
      </c>
      <c r="J99" s="336"/>
      <c r="L99" s="38"/>
      <c r="M99" s="31"/>
      <c r="N99" s="325" t="s">
        <v>213</v>
      </c>
      <c r="O99" s="325"/>
      <c r="P99" s="31"/>
      <c r="Q99" s="325" t="s">
        <v>214</v>
      </c>
      <c r="R99" s="325"/>
      <c r="T99" s="325" t="s">
        <v>109</v>
      </c>
      <c r="U99" s="336"/>
    </row>
    <row r="100" spans="1:21" ht="15" customHeight="1">
      <c r="A100" s="392" t="s">
        <v>147</v>
      </c>
      <c r="B100" s="117" t="s">
        <v>215</v>
      </c>
      <c r="C100" s="33">
        <v>5.62</v>
      </c>
      <c r="D100" s="63">
        <f>C100/2</f>
        <v>2.81</v>
      </c>
      <c r="E100" s="117" t="s">
        <v>217</v>
      </c>
      <c r="F100" s="33">
        <v>2.8</v>
      </c>
      <c r="G100" s="63">
        <f>F100/2</f>
        <v>1.4</v>
      </c>
      <c r="I100" s="63" t="s">
        <v>120</v>
      </c>
      <c r="J100" s="32" t="s">
        <v>34</v>
      </c>
      <c r="L100" s="392" t="s">
        <v>147</v>
      </c>
      <c r="M100" s="117" t="s">
        <v>215</v>
      </c>
      <c r="N100" s="33">
        <v>3.5</v>
      </c>
      <c r="O100" s="63">
        <f>N100/2</f>
        <v>1.75</v>
      </c>
      <c r="P100" s="117" t="s">
        <v>217</v>
      </c>
      <c r="Q100" s="33">
        <v>4.6500000000000004</v>
      </c>
      <c r="R100" s="63">
        <f>Q100/2</f>
        <v>2.3250000000000002</v>
      </c>
      <c r="T100" s="63">
        <v>1.85</v>
      </c>
      <c r="U100" s="32" t="s">
        <v>34</v>
      </c>
    </row>
    <row r="101" spans="1:21">
      <c r="A101" s="392"/>
      <c r="B101" s="117" t="s">
        <v>216</v>
      </c>
      <c r="C101" s="33">
        <v>6.28</v>
      </c>
      <c r="D101" s="63">
        <f>C101/2</f>
        <v>3.14</v>
      </c>
      <c r="E101" s="117" t="s">
        <v>218</v>
      </c>
      <c r="F101" s="33">
        <v>5.85</v>
      </c>
      <c r="G101" s="63">
        <f>F101/2</f>
        <v>2.9249999999999998</v>
      </c>
      <c r="I101" s="31"/>
      <c r="J101" s="32"/>
      <c r="L101" s="392"/>
      <c r="M101" s="117" t="s">
        <v>216</v>
      </c>
      <c r="N101" s="33">
        <v>4.62</v>
      </c>
      <c r="O101" s="63">
        <f>N101/2</f>
        <v>2.31</v>
      </c>
      <c r="P101" s="117" t="s">
        <v>218</v>
      </c>
      <c r="T101" s="31"/>
      <c r="U101" s="32"/>
    </row>
    <row r="102" spans="1:21">
      <c r="A102" s="38"/>
      <c r="B102" s="31"/>
      <c r="C102" s="31"/>
      <c r="D102" s="31"/>
      <c r="E102" s="31"/>
      <c r="F102" s="31"/>
      <c r="G102" s="31"/>
      <c r="J102" s="32"/>
      <c r="L102" s="38"/>
      <c r="M102" s="31"/>
      <c r="N102" s="31"/>
      <c r="O102" s="31"/>
      <c r="P102" s="31"/>
      <c r="Q102" s="31"/>
      <c r="R102" s="31"/>
      <c r="S102" s="31"/>
      <c r="T102" s="31"/>
      <c r="U102" s="32"/>
    </row>
    <row r="103" spans="1:21" ht="15" customHeight="1">
      <c r="A103" s="399" t="s">
        <v>115</v>
      </c>
      <c r="B103" s="329" t="s">
        <v>204</v>
      </c>
      <c r="C103" s="329"/>
      <c r="D103" s="329"/>
      <c r="E103" s="99">
        <v>1</v>
      </c>
      <c r="F103" s="51"/>
      <c r="G103" s="51"/>
      <c r="H103" s="51"/>
      <c r="I103" s="51"/>
      <c r="J103" s="50"/>
      <c r="L103" s="399" t="s">
        <v>115</v>
      </c>
      <c r="M103" s="329" t="s">
        <v>204</v>
      </c>
      <c r="N103" s="329"/>
      <c r="O103" s="329"/>
      <c r="P103" s="99">
        <v>1</v>
      </c>
      <c r="Q103" s="51"/>
      <c r="R103" s="51"/>
      <c r="S103" s="51"/>
      <c r="T103" s="51"/>
      <c r="U103" s="50"/>
    </row>
    <row r="104" spans="1:21">
      <c r="A104" s="399"/>
      <c r="B104" s="329"/>
      <c r="C104" s="329"/>
      <c r="D104" s="329"/>
      <c r="E104" s="99">
        <v>1.1000000000000001</v>
      </c>
      <c r="F104" s="51"/>
      <c r="G104" s="51"/>
      <c r="H104" s="51"/>
      <c r="I104" s="51"/>
      <c r="J104" s="50"/>
      <c r="L104" s="399"/>
      <c r="M104" s="329"/>
      <c r="N104" s="329"/>
      <c r="O104" s="329"/>
      <c r="P104" s="99">
        <v>1.1000000000000001</v>
      </c>
      <c r="Q104" s="51"/>
      <c r="R104" s="51"/>
      <c r="S104" s="51"/>
      <c r="T104" s="51"/>
      <c r="U104" s="50"/>
    </row>
    <row r="105" spans="1:21">
      <c r="A105" s="399"/>
      <c r="B105" s="329"/>
      <c r="C105" s="329"/>
      <c r="D105" s="329"/>
      <c r="E105" s="99">
        <v>1.2</v>
      </c>
      <c r="F105" s="51"/>
      <c r="G105" s="51"/>
      <c r="H105" s="51"/>
      <c r="I105" s="51"/>
      <c r="J105" s="50"/>
      <c r="L105" s="399"/>
      <c r="M105" s="329"/>
      <c r="N105" s="329"/>
      <c r="O105" s="329"/>
      <c r="P105" s="99">
        <v>1.2</v>
      </c>
      <c r="Q105" s="51"/>
      <c r="R105" s="51"/>
      <c r="S105" s="51"/>
      <c r="T105" s="51"/>
      <c r="U105" s="50"/>
    </row>
    <row r="106" spans="1:21">
      <c r="A106" s="38"/>
      <c r="B106" s="31"/>
      <c r="C106" s="31"/>
      <c r="D106" s="31"/>
      <c r="E106" s="31"/>
      <c r="F106" s="31"/>
      <c r="G106" s="31"/>
      <c r="H106" s="31"/>
      <c r="I106" s="31"/>
      <c r="J106" s="32"/>
      <c r="L106" s="38"/>
      <c r="M106" s="31"/>
      <c r="N106" s="31"/>
      <c r="O106" s="31"/>
      <c r="P106" s="31"/>
      <c r="Q106" s="31"/>
      <c r="R106" s="31"/>
      <c r="S106" s="31"/>
      <c r="T106" s="31"/>
      <c r="U106" s="32"/>
    </row>
    <row r="107" spans="1:21" ht="51" customHeight="1">
      <c r="A107" s="38"/>
      <c r="B107" s="379" t="s">
        <v>142</v>
      </c>
      <c r="C107" s="379"/>
      <c r="D107" s="109"/>
      <c r="E107" s="73" t="s">
        <v>140</v>
      </c>
      <c r="F107" s="74" t="s">
        <v>141</v>
      </c>
      <c r="G107" s="113" t="s">
        <v>207</v>
      </c>
      <c r="H107" s="73" t="s">
        <v>140</v>
      </c>
      <c r="I107" s="89" t="s">
        <v>205</v>
      </c>
      <c r="J107" s="110" t="s">
        <v>181</v>
      </c>
      <c r="L107" s="38"/>
      <c r="M107" s="379" t="s">
        <v>142</v>
      </c>
      <c r="N107" s="379"/>
      <c r="O107" s="109"/>
      <c r="P107" s="93" t="s">
        <v>140</v>
      </c>
      <c r="Q107" s="94" t="s">
        <v>141</v>
      </c>
      <c r="R107" s="113" t="s">
        <v>207</v>
      </c>
      <c r="S107" s="93" t="s">
        <v>140</v>
      </c>
      <c r="T107" s="89" t="s">
        <v>205</v>
      </c>
      <c r="U107" s="110" t="s">
        <v>181</v>
      </c>
    </row>
    <row r="108" spans="1:21" ht="17.25">
      <c r="A108" s="38"/>
      <c r="B108" s="318" t="s">
        <v>139</v>
      </c>
      <c r="C108" s="318"/>
      <c r="D108" s="108">
        <f>((E103*D100)*(E103*G101))+((E103*D101)*(E103*G101))+((E103*D100)*(E103*G100))</f>
        <v>21.33775</v>
      </c>
      <c r="E108" s="114" t="s">
        <v>208</v>
      </c>
      <c r="F108" s="33">
        <f>'3.Riepilogo carichi unitari'!$H$4</f>
        <v>10.37895</v>
      </c>
      <c r="G108" s="33">
        <f>'3.Riepilogo carichi unitari'!$J$4</f>
        <v>6.0914999999999999</v>
      </c>
      <c r="H108" s="62" t="s">
        <v>209</v>
      </c>
      <c r="I108" s="61">
        <f>D108*F108</f>
        <v>221.46344036249999</v>
      </c>
      <c r="J108" s="111">
        <f>D108*G108</f>
        <v>129.97890412499999</v>
      </c>
      <c r="L108" s="38"/>
      <c r="M108" s="318" t="s">
        <v>139</v>
      </c>
      <c r="N108" s="318"/>
      <c r="O108" s="108">
        <f>((P104*O100)*(P103*R100))+((P104*O101)*(P103*R100))</f>
        <v>10.383450000000003</v>
      </c>
      <c r="P108" s="114" t="s">
        <v>208</v>
      </c>
      <c r="Q108" s="33">
        <f>'3.Riepilogo carichi unitari'!$H$4</f>
        <v>10.37895</v>
      </c>
      <c r="R108" s="33">
        <f>'3.Riepilogo carichi unitari'!$J$4</f>
        <v>6.0914999999999999</v>
      </c>
      <c r="S108" s="62" t="s">
        <v>209</v>
      </c>
      <c r="T108" s="61">
        <f>O108*Q108</f>
        <v>107.76930837750004</v>
      </c>
      <c r="U108" s="111">
        <f>O108*R108</f>
        <v>63.250785675000017</v>
      </c>
    </row>
    <row r="109" spans="1:21" ht="17.25">
      <c r="A109" s="38"/>
      <c r="B109" s="318" t="s">
        <v>138</v>
      </c>
      <c r="C109" s="318"/>
      <c r="D109" s="33"/>
      <c r="E109" s="73" t="s">
        <v>208</v>
      </c>
      <c r="F109" s="33">
        <f>'3.Riepilogo carichi unitari'!$H$7</f>
        <v>10.95495</v>
      </c>
      <c r="G109" s="33">
        <f>'3.Riepilogo carichi unitari'!$J$7</f>
        <v>6.2115000000000009</v>
      </c>
      <c r="H109" s="62" t="s">
        <v>209</v>
      </c>
      <c r="I109" s="61"/>
      <c r="J109" s="111"/>
      <c r="L109" s="38"/>
      <c r="M109" s="318" t="s">
        <v>138</v>
      </c>
      <c r="N109" s="318"/>
      <c r="O109" s="33">
        <f>((O100)*T100)+(O101*(T100))</f>
        <v>7.511000000000001</v>
      </c>
      <c r="P109" s="93" t="s">
        <v>208</v>
      </c>
      <c r="Q109" s="33">
        <f>'3.Riepilogo carichi unitari'!$H$7</f>
        <v>10.95495</v>
      </c>
      <c r="R109" s="33">
        <f>'3.Riepilogo carichi unitari'!$J$7</f>
        <v>6.2115000000000009</v>
      </c>
      <c r="S109" s="62" t="s">
        <v>209</v>
      </c>
      <c r="T109" s="61">
        <f>O109*Q109</f>
        <v>82.282629450000016</v>
      </c>
      <c r="U109" s="111">
        <f>O109*R109</f>
        <v>46.654576500000012</v>
      </c>
    </row>
    <row r="110" spans="1:21" ht="17.25">
      <c r="A110" s="38"/>
      <c r="B110" s="318" t="s">
        <v>137</v>
      </c>
      <c r="C110" s="318"/>
      <c r="D110" s="33"/>
      <c r="E110" s="73" t="s">
        <v>208</v>
      </c>
      <c r="F110" s="33">
        <f>'3.Riepilogo carichi unitari'!$H$7</f>
        <v>10.95495</v>
      </c>
      <c r="G110" s="33">
        <f>'3.Riepilogo carichi unitari'!$J$7</f>
        <v>6.2115000000000009</v>
      </c>
      <c r="H110" s="62" t="s">
        <v>209</v>
      </c>
      <c r="I110" s="61"/>
      <c r="J110" s="111"/>
      <c r="L110" s="38"/>
      <c r="M110" s="318" t="s">
        <v>137</v>
      </c>
      <c r="N110" s="318"/>
      <c r="O110" s="33"/>
      <c r="P110" s="93" t="s">
        <v>208</v>
      </c>
      <c r="Q110" s="33">
        <f>'3.Riepilogo carichi unitari'!$H$7</f>
        <v>10.95495</v>
      </c>
      <c r="R110" s="33">
        <f>'3.Riepilogo carichi unitari'!$J$7</f>
        <v>6.2115000000000009</v>
      </c>
      <c r="S110" s="62" t="s">
        <v>209</v>
      </c>
      <c r="T110" s="61"/>
      <c r="U110" s="111"/>
    </row>
    <row r="111" spans="1:21" ht="17.25">
      <c r="A111" s="38"/>
      <c r="B111" s="318" t="s">
        <v>136</v>
      </c>
      <c r="C111" s="318"/>
      <c r="D111" s="33">
        <f>(E105*D101)*(E103*G100)</f>
        <v>5.275199999999999</v>
      </c>
      <c r="E111" s="73" t="s">
        <v>208</v>
      </c>
      <c r="F111" s="33">
        <f>'3.Riepilogo carichi unitari'!$H$8</f>
        <v>15.237165368783602</v>
      </c>
      <c r="G111" s="33">
        <f>'3.Riepilogo carichi unitari'!$J$8</f>
        <v>9.5055118221412318</v>
      </c>
      <c r="H111" s="62" t="s">
        <v>210</v>
      </c>
      <c r="I111" s="61">
        <f>D111*F111</f>
        <v>80.379094753407244</v>
      </c>
      <c r="J111" s="111">
        <f>D111*G111</f>
        <v>50.143475964159414</v>
      </c>
      <c r="L111" s="38"/>
      <c r="M111" s="318" t="s">
        <v>136</v>
      </c>
      <c r="N111" s="318"/>
      <c r="O111" s="33"/>
      <c r="P111" s="93" t="s">
        <v>208</v>
      </c>
      <c r="Q111" s="33">
        <f>'3.Riepilogo carichi unitari'!$H$8</f>
        <v>15.237165368783602</v>
      </c>
      <c r="R111" s="33">
        <f>'3.Riepilogo carichi unitari'!$J$8</f>
        <v>9.5055118221412318</v>
      </c>
      <c r="S111" s="62" t="s">
        <v>210</v>
      </c>
      <c r="T111" s="61"/>
      <c r="U111" s="111"/>
    </row>
    <row r="112" spans="1:21">
      <c r="A112" s="38"/>
      <c r="B112" s="318" t="s">
        <v>123</v>
      </c>
      <c r="C112" s="318"/>
      <c r="D112" s="33"/>
      <c r="E112" s="73" t="s">
        <v>34</v>
      </c>
      <c r="F112" s="33">
        <f>'3.Riepilogo carichi unitari'!$H$11</f>
        <v>7.8416000000000015</v>
      </c>
      <c r="G112" s="33">
        <f>'3.Riepilogo carichi unitari'!$J$11</f>
        <v>6.0320000000000009</v>
      </c>
      <c r="H112" s="62" t="s">
        <v>102</v>
      </c>
      <c r="I112" s="61"/>
      <c r="J112" s="111"/>
      <c r="L112" s="38"/>
      <c r="M112" s="318" t="s">
        <v>123</v>
      </c>
      <c r="N112" s="318"/>
      <c r="O112" s="33">
        <f>(P104*O100)+(P103*O101)</f>
        <v>4.2350000000000003</v>
      </c>
      <c r="P112" s="93" t="s">
        <v>34</v>
      </c>
      <c r="Q112" s="33">
        <f>'3.Riepilogo carichi unitari'!$H$11</f>
        <v>7.8416000000000015</v>
      </c>
      <c r="R112" s="33">
        <f>'3.Riepilogo carichi unitari'!$J$11</f>
        <v>6.0320000000000009</v>
      </c>
      <c r="S112" s="62" t="s">
        <v>102</v>
      </c>
      <c r="T112" s="61">
        <f t="shared" ref="T112:T113" si="16">O112*Q112</f>
        <v>33.209176000000006</v>
      </c>
      <c r="U112" s="111">
        <f t="shared" ref="U112:U113" si="17">O112*R112</f>
        <v>25.545520000000007</v>
      </c>
    </row>
    <row r="113" spans="1:21">
      <c r="A113" s="38"/>
      <c r="B113" s="318" t="s">
        <v>135</v>
      </c>
      <c r="C113" s="318"/>
      <c r="D113" s="33">
        <f>(E103*G101)+(E105*D101)</f>
        <v>6.6929999999999996</v>
      </c>
      <c r="E113" s="73" t="s">
        <v>34</v>
      </c>
      <c r="F113" s="33">
        <f>'3.Riepilogo carichi unitari'!$H$9</f>
        <v>5.184075</v>
      </c>
      <c r="G113" s="33">
        <f>'3.Riepilogo carichi unitari'!$J$9</f>
        <v>3.9877500000000001</v>
      </c>
      <c r="H113" s="62" t="s">
        <v>102</v>
      </c>
      <c r="I113" s="61">
        <f t="shared" ref="I113" si="18">D113*F113</f>
        <v>34.697013974999997</v>
      </c>
      <c r="J113" s="111">
        <f t="shared" ref="J113" si="19">D113*G113</f>
        <v>26.690010749999999</v>
      </c>
      <c r="L113" s="38"/>
      <c r="M113" s="318" t="s">
        <v>135</v>
      </c>
      <c r="N113" s="318"/>
      <c r="O113" s="33">
        <f>(P104*O100)+(P103*O101)+(R100)</f>
        <v>6.5600000000000005</v>
      </c>
      <c r="P113" s="93" t="s">
        <v>34</v>
      </c>
      <c r="Q113" s="33">
        <f>'3.Riepilogo carichi unitari'!$H$9</f>
        <v>5.184075</v>
      </c>
      <c r="R113" s="33">
        <f>'3.Riepilogo carichi unitari'!$J$9</f>
        <v>3.9877500000000001</v>
      </c>
      <c r="S113" s="62" t="s">
        <v>102</v>
      </c>
      <c r="T113" s="61">
        <f t="shared" si="16"/>
        <v>34.007532000000005</v>
      </c>
      <c r="U113" s="111">
        <f t="shared" si="17"/>
        <v>26.159640000000003</v>
      </c>
    </row>
    <row r="114" spans="1:21">
      <c r="A114" s="38"/>
      <c r="B114" s="318" t="s">
        <v>134</v>
      </c>
      <c r="C114" s="318"/>
      <c r="D114" s="33">
        <f>(E105*D100)+(E103*G100)</f>
        <v>4.7720000000000002</v>
      </c>
      <c r="E114" s="73" t="s">
        <v>34</v>
      </c>
      <c r="F114" s="33">
        <f>'3.Riepilogo carichi unitari'!$H$10</f>
        <v>2.3026249999999999</v>
      </c>
      <c r="G114" s="33">
        <f>'3.Riepilogo carichi unitari'!$J$10</f>
        <v>1.7712499999999998</v>
      </c>
      <c r="H114" s="62" t="s">
        <v>102</v>
      </c>
      <c r="I114" s="61">
        <f t="shared" ref="I114" si="20">D114*F114</f>
        <v>10.9881265</v>
      </c>
      <c r="J114" s="111">
        <f t="shared" ref="J114" si="21">D114*G114</f>
        <v>8.4524049999999988</v>
      </c>
      <c r="L114" s="38"/>
      <c r="M114" s="318" t="s">
        <v>134</v>
      </c>
      <c r="N114" s="318"/>
      <c r="O114" s="33"/>
      <c r="P114" s="93" t="s">
        <v>34</v>
      </c>
      <c r="Q114" s="33">
        <f>'3.Riepilogo carichi unitari'!$H$10</f>
        <v>2.3026249999999999</v>
      </c>
      <c r="R114" s="33">
        <f>'3.Riepilogo carichi unitari'!$J$10</f>
        <v>1.7712499999999998</v>
      </c>
      <c r="S114" s="62" t="s">
        <v>102</v>
      </c>
      <c r="T114" s="61"/>
      <c r="U114" s="111"/>
    </row>
    <row r="115" spans="1:21">
      <c r="A115" s="38"/>
      <c r="B115" s="328" t="s">
        <v>133</v>
      </c>
      <c r="C115" s="328"/>
      <c r="D115" s="325"/>
      <c r="E115" s="325"/>
      <c r="F115" s="325"/>
      <c r="G115" s="325"/>
      <c r="H115" s="325"/>
      <c r="I115" s="61">
        <f>SUM(I108:I114)</f>
        <v>347.52767559090728</v>
      </c>
      <c r="J115" s="111">
        <f>SUM(J108:J114)</f>
        <v>215.2647958391594</v>
      </c>
      <c r="L115" s="38"/>
      <c r="M115" s="328" t="s">
        <v>133</v>
      </c>
      <c r="N115" s="328"/>
      <c r="O115" s="325"/>
      <c r="P115" s="325"/>
      <c r="Q115" s="325"/>
      <c r="R115" s="325"/>
      <c r="S115" s="325"/>
      <c r="T115" s="61">
        <f>SUM(T108:T114)</f>
        <v>257.26864582750011</v>
      </c>
      <c r="U115" s="111">
        <f>SUM(U108:U114)</f>
        <v>161.61052217500003</v>
      </c>
    </row>
    <row r="116" spans="1:21" ht="15" customHeight="1">
      <c r="A116" s="38"/>
      <c r="B116" s="31"/>
      <c r="C116" s="31"/>
      <c r="D116" s="31"/>
      <c r="E116" s="31"/>
      <c r="F116" s="393" t="s">
        <v>186</v>
      </c>
      <c r="G116" s="394"/>
      <c r="H116" s="393" t="s">
        <v>178</v>
      </c>
      <c r="I116" s="394"/>
      <c r="J116" s="32"/>
      <c r="L116" s="38"/>
      <c r="M116" s="31"/>
      <c r="N116" s="31"/>
      <c r="O116" s="31"/>
      <c r="P116" s="31"/>
      <c r="Q116" s="393" t="s">
        <v>186</v>
      </c>
      <c r="R116" s="394"/>
      <c r="S116" s="393" t="s">
        <v>178</v>
      </c>
      <c r="T116" s="394"/>
      <c r="U116" s="32"/>
    </row>
    <row r="117" spans="1:21">
      <c r="A117" s="330" t="s">
        <v>212</v>
      </c>
      <c r="B117" s="395"/>
      <c r="C117" s="395"/>
      <c r="D117" s="395"/>
      <c r="E117" s="395"/>
      <c r="F117" s="61">
        <f>I115</f>
        <v>347.52767559090728</v>
      </c>
      <c r="G117" s="74" t="s">
        <v>132</v>
      </c>
      <c r="H117" s="61">
        <f>J115</f>
        <v>215.2647958391594</v>
      </c>
      <c r="I117" s="74" t="s">
        <v>132</v>
      </c>
      <c r="J117" s="115"/>
      <c r="L117" s="330" t="s">
        <v>212</v>
      </c>
      <c r="M117" s="395"/>
      <c r="N117" s="395"/>
      <c r="O117" s="395"/>
      <c r="P117" s="395"/>
      <c r="Q117" s="61">
        <f>T115</f>
        <v>257.26864582750011</v>
      </c>
      <c r="R117" s="94" t="s">
        <v>132</v>
      </c>
      <c r="S117" s="61">
        <f>U115</f>
        <v>161.61052217500003</v>
      </c>
      <c r="T117" s="94" t="s">
        <v>132</v>
      </c>
      <c r="U117" s="115"/>
    </row>
    <row r="118" spans="1:21" ht="15.75">
      <c r="A118" s="396" t="s">
        <v>211</v>
      </c>
      <c r="B118" s="397"/>
      <c r="C118" s="397"/>
      <c r="D118" s="397"/>
      <c r="E118" s="397"/>
      <c r="F118" s="106">
        <f>F117*1.07</f>
        <v>371.85461288227083</v>
      </c>
      <c r="G118" s="107" t="s">
        <v>132</v>
      </c>
      <c r="H118" s="106">
        <f>H117*1.07</f>
        <v>230.33333154790057</v>
      </c>
      <c r="I118" s="107" t="s">
        <v>132</v>
      </c>
      <c r="J118" s="120" t="s">
        <v>224</v>
      </c>
      <c r="L118" s="396" t="s">
        <v>211</v>
      </c>
      <c r="M118" s="397"/>
      <c r="N118" s="397"/>
      <c r="O118" s="397"/>
      <c r="P118" s="397"/>
      <c r="Q118" s="106">
        <f>Q117*1.06</f>
        <v>272.70476457715012</v>
      </c>
      <c r="R118" s="107" t="s">
        <v>132</v>
      </c>
      <c r="S118" s="106">
        <f>S117*1.06</f>
        <v>171.30715350550003</v>
      </c>
      <c r="T118" s="107" t="s">
        <v>132</v>
      </c>
      <c r="U118" s="32"/>
    </row>
    <row r="119" spans="1:21" ht="15.75">
      <c r="A119" s="60"/>
      <c r="B119" s="76"/>
      <c r="C119" s="76"/>
      <c r="D119" s="400" t="s">
        <v>206</v>
      </c>
      <c r="E119" s="400"/>
      <c r="F119" s="112">
        <f>F118*6</f>
        <v>2231.1276772936249</v>
      </c>
      <c r="G119" s="58" t="s">
        <v>132</v>
      </c>
      <c r="H119" s="112">
        <f>H118*6</f>
        <v>1381.9999892874034</v>
      </c>
      <c r="I119" s="58" t="s">
        <v>132</v>
      </c>
      <c r="J119" s="118"/>
      <c r="L119" s="60"/>
      <c r="M119" s="95"/>
      <c r="N119" s="95"/>
      <c r="O119" s="400" t="s">
        <v>206</v>
      </c>
      <c r="P119" s="400"/>
      <c r="Q119" s="112">
        <f>Q118*6</f>
        <v>1636.2285874629006</v>
      </c>
      <c r="R119" s="58" t="s">
        <v>132</v>
      </c>
      <c r="S119" s="112">
        <f>S118*6</f>
        <v>1027.842921033</v>
      </c>
      <c r="T119" s="58" t="s">
        <v>132</v>
      </c>
      <c r="U119" s="116"/>
    </row>
    <row r="120" spans="1:21" ht="15.75">
      <c r="A120" s="60"/>
      <c r="B120" s="398"/>
      <c r="C120" s="398"/>
      <c r="D120" s="398"/>
      <c r="E120" s="398"/>
      <c r="F120" s="59"/>
      <c r="G120" s="58"/>
      <c r="H120" s="42"/>
      <c r="I120" s="42"/>
      <c r="J120" s="44"/>
      <c r="L120" s="38"/>
      <c r="M120" s="325"/>
      <c r="N120" s="325"/>
      <c r="O120" s="325"/>
      <c r="P120" s="325"/>
      <c r="Q120" s="61"/>
      <c r="R120" s="15"/>
      <c r="S120" s="31"/>
      <c r="T120" s="31"/>
      <c r="U120" s="32"/>
    </row>
    <row r="121" spans="1:21">
      <c r="L121" s="38"/>
      <c r="M121" s="318"/>
      <c r="N121" s="318"/>
      <c r="O121" s="318"/>
      <c r="P121" s="318"/>
      <c r="Q121" s="61"/>
      <c r="R121" s="15"/>
      <c r="S121" s="31"/>
      <c r="T121" s="31"/>
      <c r="U121" s="32"/>
    </row>
    <row r="122" spans="1:21">
      <c r="A122" s="386" t="s">
        <v>231</v>
      </c>
      <c r="B122" s="387"/>
      <c r="C122" s="387"/>
      <c r="D122" s="387"/>
      <c r="E122" s="387"/>
      <c r="F122" s="387"/>
      <c r="G122" s="387"/>
      <c r="H122" s="387"/>
      <c r="I122" s="387"/>
      <c r="J122" s="388"/>
      <c r="L122" s="380" t="s">
        <v>232</v>
      </c>
      <c r="M122" s="381"/>
      <c r="N122" s="381"/>
      <c r="O122" s="381"/>
      <c r="P122" s="381"/>
      <c r="Q122" s="381"/>
      <c r="R122" s="381"/>
      <c r="S122" s="381"/>
      <c r="T122" s="381"/>
      <c r="U122" s="382"/>
    </row>
    <row r="123" spans="1:21" ht="7.5" customHeight="1">
      <c r="A123" s="389"/>
      <c r="B123" s="390"/>
      <c r="C123" s="390"/>
      <c r="D123" s="390"/>
      <c r="E123" s="390"/>
      <c r="F123" s="390"/>
      <c r="G123" s="390"/>
      <c r="H123" s="390"/>
      <c r="I123" s="390"/>
      <c r="J123" s="391"/>
      <c r="L123" s="383"/>
      <c r="M123" s="384"/>
      <c r="N123" s="384"/>
      <c r="O123" s="384"/>
      <c r="P123" s="384"/>
      <c r="Q123" s="384"/>
      <c r="R123" s="384"/>
      <c r="S123" s="384"/>
      <c r="T123" s="384"/>
      <c r="U123" s="385"/>
    </row>
    <row r="124" spans="1:21">
      <c r="A124" s="38"/>
      <c r="B124" s="31"/>
      <c r="C124" s="325" t="s">
        <v>213</v>
      </c>
      <c r="D124" s="325"/>
      <c r="E124" s="31"/>
      <c r="F124" s="325" t="s">
        <v>214</v>
      </c>
      <c r="G124" s="325"/>
      <c r="I124" s="325" t="s">
        <v>109</v>
      </c>
      <c r="J124" s="336"/>
      <c r="L124" s="38"/>
      <c r="M124" s="31"/>
      <c r="N124" s="325" t="s">
        <v>213</v>
      </c>
      <c r="O124" s="325"/>
      <c r="P124" s="31"/>
      <c r="Q124" s="325" t="s">
        <v>214</v>
      </c>
      <c r="R124" s="325"/>
      <c r="T124" s="325" t="s">
        <v>109</v>
      </c>
      <c r="U124" s="336"/>
    </row>
    <row r="125" spans="1:21">
      <c r="A125" s="392" t="s">
        <v>147</v>
      </c>
      <c r="B125" s="117" t="s">
        <v>215</v>
      </c>
      <c r="C125" s="33">
        <v>3.5</v>
      </c>
      <c r="D125" s="63">
        <f>C125/2</f>
        <v>1.75</v>
      </c>
      <c r="E125" s="117" t="s">
        <v>217</v>
      </c>
      <c r="F125" s="33">
        <v>4.6500000000000004</v>
      </c>
      <c r="G125" s="63">
        <f>F125/2</f>
        <v>2.3250000000000002</v>
      </c>
      <c r="I125" s="63">
        <v>1.85</v>
      </c>
      <c r="J125" s="32" t="s">
        <v>34</v>
      </c>
      <c r="L125" s="392" t="s">
        <v>147</v>
      </c>
      <c r="M125" s="117" t="s">
        <v>225</v>
      </c>
      <c r="N125" s="33"/>
      <c r="O125" s="63">
        <v>1.4</v>
      </c>
      <c r="P125" s="117" t="s">
        <v>217</v>
      </c>
      <c r="Q125" s="33">
        <v>3.8</v>
      </c>
      <c r="R125" s="63">
        <f>Q125/2</f>
        <v>1.9</v>
      </c>
      <c r="T125" s="63" t="s">
        <v>120</v>
      </c>
      <c r="U125" s="32" t="s">
        <v>34</v>
      </c>
    </row>
    <row r="126" spans="1:21">
      <c r="A126" s="392"/>
      <c r="B126" s="117" t="s">
        <v>216</v>
      </c>
      <c r="C126" s="33">
        <v>4.62</v>
      </c>
      <c r="D126" s="63">
        <f>C126/2</f>
        <v>2.31</v>
      </c>
      <c r="E126" s="117" t="s">
        <v>218</v>
      </c>
      <c r="I126" s="31"/>
      <c r="J126" s="32"/>
      <c r="L126" s="392"/>
      <c r="M126" s="117" t="s">
        <v>226</v>
      </c>
      <c r="N126" s="33"/>
      <c r="O126" s="63">
        <v>2.6</v>
      </c>
      <c r="P126" s="117" t="s">
        <v>218</v>
      </c>
      <c r="Q126" s="33">
        <v>2.02</v>
      </c>
      <c r="R126" s="63">
        <f>Q126/2</f>
        <v>1.01</v>
      </c>
      <c r="T126" s="31"/>
      <c r="U126" s="32"/>
    </row>
    <row r="127" spans="1:21">
      <c r="A127" s="38"/>
      <c r="B127" s="31"/>
      <c r="C127" s="31"/>
      <c r="D127" s="31"/>
      <c r="E127" s="31"/>
      <c r="F127" s="31"/>
      <c r="G127" s="31"/>
      <c r="H127" s="31"/>
      <c r="I127" s="31"/>
      <c r="J127" s="32"/>
      <c r="L127" s="38"/>
      <c r="M127" s="117" t="s">
        <v>227</v>
      </c>
      <c r="N127" s="33" t="s">
        <v>120</v>
      </c>
      <c r="O127" s="33" t="s">
        <v>120</v>
      </c>
      <c r="P127" s="31"/>
      <c r="Q127" s="31"/>
      <c r="R127" s="31"/>
      <c r="U127" s="32"/>
    </row>
    <row r="128" spans="1:21">
      <c r="A128" s="399" t="s">
        <v>115</v>
      </c>
      <c r="B128" s="329" t="s">
        <v>204</v>
      </c>
      <c r="C128" s="329"/>
      <c r="D128" s="329"/>
      <c r="E128" s="99">
        <v>1</v>
      </c>
      <c r="F128" s="51"/>
      <c r="G128" s="51"/>
      <c r="H128" s="51"/>
      <c r="I128" s="51"/>
      <c r="J128" s="50"/>
      <c r="L128" s="38"/>
      <c r="M128" s="117" t="s">
        <v>228</v>
      </c>
      <c r="N128" s="33">
        <v>5.62</v>
      </c>
      <c r="O128" s="63">
        <f>N128/2</f>
        <v>2.81</v>
      </c>
      <c r="Q128" s="51"/>
      <c r="R128" s="51"/>
      <c r="S128" t="s">
        <v>312</v>
      </c>
      <c r="T128" s="51"/>
      <c r="U128" s="50"/>
    </row>
    <row r="129" spans="1:21">
      <c r="A129" s="399"/>
      <c r="B129" s="329"/>
      <c r="C129" s="329"/>
      <c r="D129" s="329"/>
      <c r="E129" s="99">
        <v>1.1000000000000001</v>
      </c>
      <c r="F129" s="51"/>
      <c r="G129" s="51"/>
      <c r="H129" s="51"/>
      <c r="I129" s="51"/>
      <c r="J129" s="50"/>
      <c r="L129" s="399" t="s">
        <v>115</v>
      </c>
      <c r="M129" s="329" t="s">
        <v>204</v>
      </c>
      <c r="N129" s="329"/>
      <c r="O129" s="329"/>
      <c r="P129" s="99">
        <v>1</v>
      </c>
      <c r="T129" s="51"/>
      <c r="U129" s="50"/>
    </row>
    <row r="130" spans="1:21">
      <c r="A130" s="399"/>
      <c r="B130" s="329"/>
      <c r="C130" s="329"/>
      <c r="D130" s="329"/>
      <c r="E130" s="99">
        <v>1.2</v>
      </c>
      <c r="F130" s="51"/>
      <c r="G130" s="51"/>
      <c r="H130" s="51"/>
      <c r="I130" s="51"/>
      <c r="J130" s="50"/>
      <c r="L130" s="399"/>
      <c r="M130" s="329"/>
      <c r="N130" s="329"/>
      <c r="O130" s="329"/>
      <c r="P130" s="99">
        <v>1.1000000000000001</v>
      </c>
      <c r="T130" s="51"/>
      <c r="U130" s="50"/>
    </row>
    <row r="131" spans="1:21">
      <c r="A131" s="38"/>
      <c r="B131" s="31"/>
      <c r="C131" s="31"/>
      <c r="D131" s="31"/>
      <c r="E131" s="31"/>
      <c r="F131" s="31"/>
      <c r="G131" s="31"/>
      <c r="H131" s="31"/>
      <c r="I131" s="31"/>
      <c r="J131" s="32"/>
      <c r="L131" s="399"/>
      <c r="M131" s="329"/>
      <c r="N131" s="329"/>
      <c r="O131" s="329"/>
      <c r="P131" s="99">
        <v>1.2</v>
      </c>
      <c r="T131" s="31"/>
      <c r="U131" s="32"/>
    </row>
    <row r="132" spans="1:21" ht="33">
      <c r="A132" s="38"/>
      <c r="B132" s="379" t="s">
        <v>142</v>
      </c>
      <c r="C132" s="379"/>
      <c r="D132" s="109"/>
      <c r="E132" s="93" t="s">
        <v>140</v>
      </c>
      <c r="F132" s="94" t="s">
        <v>141</v>
      </c>
      <c r="G132" s="113" t="s">
        <v>207</v>
      </c>
      <c r="H132" s="93" t="s">
        <v>140</v>
      </c>
      <c r="I132" s="89" t="s">
        <v>205</v>
      </c>
      <c r="J132" s="110" t="s">
        <v>181</v>
      </c>
      <c r="L132" s="38"/>
      <c r="M132" s="379" t="s">
        <v>142</v>
      </c>
      <c r="N132" s="379"/>
      <c r="O132" s="109"/>
      <c r="P132" s="158" t="s">
        <v>140</v>
      </c>
      <c r="Q132" s="159" t="s">
        <v>141</v>
      </c>
      <c r="R132" s="113" t="s">
        <v>207</v>
      </c>
      <c r="S132" s="158" t="s">
        <v>140</v>
      </c>
      <c r="T132" s="89" t="s">
        <v>205</v>
      </c>
      <c r="U132" s="110" t="s">
        <v>181</v>
      </c>
    </row>
    <row r="133" spans="1:21" ht="17.25">
      <c r="A133" s="38"/>
      <c r="B133" s="318" t="s">
        <v>139</v>
      </c>
      <c r="C133" s="318"/>
      <c r="D133" s="108">
        <f>((E129*D125)*(E128*G125))+((E129*D126)*(E128*G125))</f>
        <v>10.383450000000003</v>
      </c>
      <c r="E133" s="114" t="s">
        <v>208</v>
      </c>
      <c r="F133" s="33">
        <f>'3.Riepilogo carichi unitari'!$H$4</f>
        <v>10.37895</v>
      </c>
      <c r="G133" s="33">
        <f>'3.Riepilogo carichi unitari'!$J$4</f>
        <v>6.0914999999999999</v>
      </c>
      <c r="H133" s="62" t="s">
        <v>209</v>
      </c>
      <c r="I133" s="61">
        <f>D133*F133</f>
        <v>107.76930837750004</v>
      </c>
      <c r="J133" s="111">
        <f>D133*G133</f>
        <v>63.250785675000017</v>
      </c>
      <c r="L133" s="38"/>
      <c r="M133" s="318" t="s">
        <v>139</v>
      </c>
      <c r="N133" s="318"/>
      <c r="O133" s="33">
        <f>((P130*O125)*(P129*R126*COS(RADIANS(24))))+((P129*O126)*(P129*R126*COS(RADIANS(24))))+((P129*O128)*(P129*R125))</f>
        <v>9.1588989765867712</v>
      </c>
      <c r="P133" s="114" t="s">
        <v>208</v>
      </c>
      <c r="Q133" s="33">
        <f>'3.Riepilogo carichi unitari'!$H$4</f>
        <v>10.37895</v>
      </c>
      <c r="R133" s="33">
        <f>'3.Riepilogo carichi unitari'!$J$4</f>
        <v>6.0914999999999999</v>
      </c>
      <c r="S133" s="62" t="s">
        <v>209</v>
      </c>
      <c r="T133" s="61">
        <f>O133*Q133</f>
        <v>95.059754533045265</v>
      </c>
      <c r="U133" s="111">
        <f>O133*R133</f>
        <v>55.791433115878313</v>
      </c>
    </row>
    <row r="134" spans="1:21" ht="17.25">
      <c r="A134" s="38"/>
      <c r="B134" s="318" t="s">
        <v>138</v>
      </c>
      <c r="C134" s="318"/>
      <c r="D134" s="33">
        <f>((D125)*I125)+(D126*(I125))</f>
        <v>7.511000000000001</v>
      </c>
      <c r="E134" s="93" t="s">
        <v>208</v>
      </c>
      <c r="F134" s="33">
        <f>'3.Riepilogo carichi unitari'!$H$7</f>
        <v>10.95495</v>
      </c>
      <c r="G134" s="33">
        <f>'3.Riepilogo carichi unitari'!$J$7</f>
        <v>6.2115000000000009</v>
      </c>
      <c r="H134" s="62" t="s">
        <v>209</v>
      </c>
      <c r="I134" s="61">
        <f>D134*F134</f>
        <v>82.282629450000016</v>
      </c>
      <c r="J134" s="111">
        <f>D134*G134</f>
        <v>46.654576500000012</v>
      </c>
      <c r="L134" s="38"/>
      <c r="M134" s="318" t="s">
        <v>138</v>
      </c>
      <c r="N134" s="318"/>
      <c r="O134" s="33"/>
      <c r="P134" s="158" t="s">
        <v>208</v>
      </c>
      <c r="Q134" s="33">
        <f>'3.Riepilogo carichi unitari'!$H$7</f>
        <v>10.95495</v>
      </c>
      <c r="R134" s="33">
        <f>'3.Riepilogo carichi unitari'!$J$7</f>
        <v>6.2115000000000009</v>
      </c>
      <c r="S134" s="62" t="s">
        <v>209</v>
      </c>
      <c r="T134" s="61">
        <f>O134*Q134</f>
        <v>0</v>
      </c>
      <c r="U134" s="111">
        <f>O134*R134</f>
        <v>0</v>
      </c>
    </row>
    <row r="135" spans="1:21" ht="17.25">
      <c r="A135" s="38"/>
      <c r="B135" s="318" t="s">
        <v>137</v>
      </c>
      <c r="C135" s="318"/>
      <c r="D135" s="33"/>
      <c r="E135" s="93" t="s">
        <v>208</v>
      </c>
      <c r="F135" s="33">
        <f>'3.Riepilogo carichi unitari'!$H$7</f>
        <v>10.95495</v>
      </c>
      <c r="G135" s="33">
        <f>'3.Riepilogo carichi unitari'!$J$7</f>
        <v>6.2115000000000009</v>
      </c>
      <c r="H135" s="62" t="s">
        <v>209</v>
      </c>
      <c r="I135" s="61"/>
      <c r="J135" s="111"/>
      <c r="L135" s="38"/>
      <c r="M135" s="318" t="s">
        <v>137</v>
      </c>
      <c r="N135" s="318"/>
      <c r="O135" s="33"/>
      <c r="P135" s="158" t="s">
        <v>208</v>
      </c>
      <c r="Q135" s="33">
        <f>'3.Riepilogo carichi unitari'!$H$7</f>
        <v>10.95495</v>
      </c>
      <c r="R135" s="33">
        <f>'3.Riepilogo carichi unitari'!$J$7</f>
        <v>6.2115000000000009</v>
      </c>
      <c r="S135" s="62" t="s">
        <v>209</v>
      </c>
      <c r="T135" s="61"/>
      <c r="U135" s="111"/>
    </row>
    <row r="136" spans="1:21" ht="17.25">
      <c r="A136" s="38"/>
      <c r="B136" s="318" t="s">
        <v>136</v>
      </c>
      <c r="C136" s="318"/>
      <c r="D136" s="33"/>
      <c r="E136" s="93" t="s">
        <v>208</v>
      </c>
      <c r="F136" s="33">
        <f>'3.Riepilogo carichi unitari'!$H$8</f>
        <v>15.237165368783602</v>
      </c>
      <c r="G136" s="33">
        <f>'3.Riepilogo carichi unitari'!$J$8</f>
        <v>9.5055118221412318</v>
      </c>
      <c r="H136" s="62" t="s">
        <v>210</v>
      </c>
      <c r="I136" s="61"/>
      <c r="J136" s="111"/>
      <c r="L136" s="38"/>
      <c r="M136" s="318" t="s">
        <v>136</v>
      </c>
      <c r="N136" s="318"/>
      <c r="O136" s="33"/>
      <c r="P136" s="158" t="s">
        <v>208</v>
      </c>
      <c r="Q136" s="33">
        <f>'3.Riepilogo carichi unitari'!$H$8</f>
        <v>15.237165368783602</v>
      </c>
      <c r="R136" s="33">
        <f>'3.Riepilogo carichi unitari'!$J$8</f>
        <v>9.5055118221412318</v>
      </c>
      <c r="S136" s="62" t="s">
        <v>210</v>
      </c>
      <c r="T136" s="61"/>
      <c r="U136" s="111"/>
    </row>
    <row r="137" spans="1:21">
      <c r="A137" s="38"/>
      <c r="B137" s="318" t="s">
        <v>123</v>
      </c>
      <c r="C137" s="318"/>
      <c r="D137" s="33">
        <f>(E129*D125)+(E128*D126)</f>
        <v>4.2350000000000003</v>
      </c>
      <c r="E137" s="93" t="s">
        <v>34</v>
      </c>
      <c r="F137" s="33">
        <f>'3.Riepilogo carichi unitari'!$H$11</f>
        <v>7.8416000000000015</v>
      </c>
      <c r="G137" s="33">
        <f>'3.Riepilogo carichi unitari'!$J$11</f>
        <v>6.0320000000000009</v>
      </c>
      <c r="H137" s="62" t="s">
        <v>102</v>
      </c>
      <c r="I137" s="61">
        <f t="shared" ref="I137:I138" si="22">D137*F137</f>
        <v>33.209176000000006</v>
      </c>
      <c r="J137" s="111">
        <f t="shared" ref="J137:J138" si="23">D137*G137</f>
        <v>25.545520000000007</v>
      </c>
      <c r="L137" s="38"/>
      <c r="M137" s="318" t="s">
        <v>123</v>
      </c>
      <c r="N137" s="318"/>
      <c r="O137" s="33">
        <f>((P129*R125))+((2.5/2))</f>
        <v>3.15</v>
      </c>
      <c r="P137" s="158" t="s">
        <v>34</v>
      </c>
      <c r="Q137" s="33">
        <f>'3.Riepilogo carichi unitari'!$H$11</f>
        <v>7.8416000000000015</v>
      </c>
      <c r="R137" s="33">
        <f>'3.Riepilogo carichi unitari'!$J$11</f>
        <v>6.0320000000000009</v>
      </c>
      <c r="S137" s="62" t="s">
        <v>102</v>
      </c>
      <c r="T137" s="61">
        <f t="shared" ref="T137:T138" si="24">O137*Q137</f>
        <v>24.701040000000003</v>
      </c>
      <c r="U137" s="111">
        <f t="shared" ref="U137:U138" si="25">O137*R137</f>
        <v>19.000800000000002</v>
      </c>
    </row>
    <row r="138" spans="1:21">
      <c r="A138" s="38"/>
      <c r="B138" s="318" t="s">
        <v>135</v>
      </c>
      <c r="C138" s="318"/>
      <c r="D138" s="33">
        <f>(E129*D125)+(E128*D126)+(G125)</f>
        <v>6.5600000000000005</v>
      </c>
      <c r="E138" s="93" t="s">
        <v>34</v>
      </c>
      <c r="F138" s="33">
        <f>'3.Riepilogo carichi unitari'!$H$9</f>
        <v>5.184075</v>
      </c>
      <c r="G138" s="33">
        <f>'3.Riepilogo carichi unitari'!$J$9</f>
        <v>3.9877500000000001</v>
      </c>
      <c r="H138" s="62" t="s">
        <v>102</v>
      </c>
      <c r="I138" s="61">
        <f t="shared" si="22"/>
        <v>34.007532000000005</v>
      </c>
      <c r="J138" s="111">
        <f t="shared" si="23"/>
        <v>26.159640000000003</v>
      </c>
      <c r="L138" s="38"/>
      <c r="M138" s="318" t="s">
        <v>135</v>
      </c>
      <c r="N138" s="318"/>
      <c r="O138" s="33">
        <f>((P129*R125))+((2.5/2))</f>
        <v>3.15</v>
      </c>
      <c r="P138" s="158" t="s">
        <v>34</v>
      </c>
      <c r="Q138" s="33">
        <f>'3.Riepilogo carichi unitari'!$H$9</f>
        <v>5.184075</v>
      </c>
      <c r="R138" s="33">
        <f>'3.Riepilogo carichi unitari'!$J$9</f>
        <v>3.9877500000000001</v>
      </c>
      <c r="S138" s="62" t="s">
        <v>102</v>
      </c>
      <c r="T138" s="61">
        <f t="shared" si="24"/>
        <v>16.32983625</v>
      </c>
      <c r="U138" s="111">
        <f t="shared" si="25"/>
        <v>12.561412499999999</v>
      </c>
    </row>
    <row r="139" spans="1:21">
      <c r="A139" s="38"/>
      <c r="B139" s="318" t="s">
        <v>134</v>
      </c>
      <c r="C139" s="318"/>
      <c r="D139" s="33"/>
      <c r="E139" s="93" t="s">
        <v>34</v>
      </c>
      <c r="F139" s="33">
        <f>'3.Riepilogo carichi unitari'!$H$10</f>
        <v>2.3026249999999999</v>
      </c>
      <c r="G139" s="33">
        <f>'3.Riepilogo carichi unitari'!$J$10</f>
        <v>1.7712499999999998</v>
      </c>
      <c r="H139" s="62" t="s">
        <v>102</v>
      </c>
      <c r="I139" s="61"/>
      <c r="J139" s="111"/>
      <c r="L139" s="38"/>
      <c r="M139" s="318" t="s">
        <v>134</v>
      </c>
      <c r="N139" s="318"/>
      <c r="O139" s="33">
        <f>(P129*R126)</f>
        <v>1.01</v>
      </c>
      <c r="P139" s="158" t="s">
        <v>34</v>
      </c>
      <c r="Q139" s="33">
        <f>'3.Riepilogo carichi unitari'!$H$10</f>
        <v>2.3026249999999999</v>
      </c>
      <c r="R139" s="33">
        <f>'3.Riepilogo carichi unitari'!$J$10</f>
        <v>1.7712499999999998</v>
      </c>
      <c r="S139" s="62" t="s">
        <v>102</v>
      </c>
      <c r="T139" s="61"/>
      <c r="U139" s="111"/>
    </row>
    <row r="140" spans="1:21">
      <c r="A140" s="38"/>
      <c r="B140" s="328" t="s">
        <v>133</v>
      </c>
      <c r="C140" s="328"/>
      <c r="D140" s="325"/>
      <c r="E140" s="325"/>
      <c r="F140" s="325"/>
      <c r="G140" s="325"/>
      <c r="H140" s="325"/>
      <c r="I140" s="61">
        <f>SUM(I133:I139)</f>
        <v>257.26864582750011</v>
      </c>
      <c r="J140" s="111">
        <f>SUM(J133:J139)</f>
        <v>161.61052217500003</v>
      </c>
      <c r="L140" s="38"/>
      <c r="M140" s="328" t="s">
        <v>133</v>
      </c>
      <c r="N140" s="328"/>
      <c r="O140" s="325"/>
      <c r="P140" s="325"/>
      <c r="Q140" s="325"/>
      <c r="R140" s="325"/>
      <c r="S140" s="325"/>
      <c r="T140" s="61">
        <f>SUM(T133:T139)</f>
        <v>136.09063078304527</v>
      </c>
      <c r="U140" s="111">
        <f>SUM(U133:U139)</f>
        <v>87.353645615878321</v>
      </c>
    </row>
    <row r="141" spans="1:21">
      <c r="A141" s="38"/>
      <c r="B141" s="31"/>
      <c r="C141" s="31"/>
      <c r="D141" s="31"/>
      <c r="E141" s="31"/>
      <c r="F141" s="393" t="s">
        <v>186</v>
      </c>
      <c r="G141" s="394"/>
      <c r="H141" s="393" t="s">
        <v>178</v>
      </c>
      <c r="I141" s="394"/>
      <c r="J141" s="32"/>
      <c r="L141" s="38"/>
      <c r="M141" s="31"/>
      <c r="N141" s="31"/>
      <c r="O141" s="31"/>
      <c r="P141" s="31"/>
      <c r="Q141" s="393" t="s">
        <v>186</v>
      </c>
      <c r="R141" s="394"/>
      <c r="S141" s="393" t="s">
        <v>178</v>
      </c>
      <c r="T141" s="394"/>
      <c r="U141" s="32"/>
    </row>
    <row r="142" spans="1:21">
      <c r="A142" s="330" t="s">
        <v>212</v>
      </c>
      <c r="B142" s="395"/>
      <c r="C142" s="395"/>
      <c r="D142" s="395"/>
      <c r="E142" s="395"/>
      <c r="F142" s="61">
        <f>I140</f>
        <v>257.26864582750011</v>
      </c>
      <c r="G142" s="94" t="s">
        <v>132</v>
      </c>
      <c r="H142" s="61">
        <f>J140</f>
        <v>161.61052217500003</v>
      </c>
      <c r="I142" s="94" t="s">
        <v>132</v>
      </c>
      <c r="J142" s="115"/>
      <c r="L142" s="330" t="s">
        <v>212</v>
      </c>
      <c r="M142" s="395"/>
      <c r="N142" s="395"/>
      <c r="O142" s="395"/>
      <c r="P142" s="395"/>
      <c r="Q142" s="61">
        <f>T140</f>
        <v>136.09063078304527</v>
      </c>
      <c r="R142" s="159" t="s">
        <v>132</v>
      </c>
      <c r="S142" s="61">
        <f>U140</f>
        <v>87.353645615878321</v>
      </c>
      <c r="T142" s="159" t="s">
        <v>132</v>
      </c>
      <c r="U142" s="115"/>
    </row>
    <row r="143" spans="1:21" ht="15.75">
      <c r="A143" s="396" t="s">
        <v>211</v>
      </c>
      <c r="B143" s="397"/>
      <c r="C143" s="397"/>
      <c r="D143" s="397"/>
      <c r="E143" s="397"/>
      <c r="F143" s="106">
        <f>F142*1.06</f>
        <v>272.70476457715012</v>
      </c>
      <c r="G143" s="107" t="s">
        <v>132</v>
      </c>
      <c r="H143" s="106">
        <f>H142*1.06</f>
        <v>171.30715350550003</v>
      </c>
      <c r="I143" s="107" t="s">
        <v>132</v>
      </c>
      <c r="J143" s="32"/>
      <c r="L143" s="396" t="s">
        <v>211</v>
      </c>
      <c r="M143" s="397"/>
      <c r="N143" s="397"/>
      <c r="O143" s="397"/>
      <c r="P143" s="397"/>
      <c r="Q143" s="106">
        <f>Q142*1.06</f>
        <v>144.25606863002798</v>
      </c>
      <c r="R143" s="107" t="s">
        <v>132</v>
      </c>
      <c r="S143" s="106">
        <f>S142*1.06</f>
        <v>92.594864352831024</v>
      </c>
      <c r="T143" s="107" t="s">
        <v>132</v>
      </c>
      <c r="U143" s="32"/>
    </row>
    <row r="144" spans="1:21" ht="15.75">
      <c r="A144" s="60"/>
      <c r="B144" s="95"/>
      <c r="C144" s="95"/>
      <c r="D144" s="400" t="s">
        <v>206</v>
      </c>
      <c r="E144" s="400"/>
      <c r="F144" s="112">
        <f>F143*6</f>
        <v>1636.2285874629006</v>
      </c>
      <c r="G144" s="58" t="s">
        <v>132</v>
      </c>
      <c r="H144" s="112">
        <f>H143*6</f>
        <v>1027.842921033</v>
      </c>
      <c r="I144" s="58" t="s">
        <v>132</v>
      </c>
      <c r="J144" s="116"/>
      <c r="L144" s="60"/>
      <c r="M144" s="162"/>
      <c r="N144" s="162"/>
      <c r="O144" s="400" t="s">
        <v>206</v>
      </c>
      <c r="P144" s="400"/>
      <c r="Q144" s="112">
        <f>Q143*6</f>
        <v>865.5364117801679</v>
      </c>
      <c r="R144" s="58" t="s">
        <v>132</v>
      </c>
      <c r="S144" s="112">
        <f>S143*6</f>
        <v>555.5691861169862</v>
      </c>
      <c r="T144" s="58" t="s">
        <v>132</v>
      </c>
      <c r="U144" s="116"/>
    </row>
    <row r="145" spans="1:21">
      <c r="A145" s="38"/>
      <c r="B145" s="325"/>
      <c r="C145" s="325"/>
      <c r="D145" s="325"/>
      <c r="E145" s="325"/>
      <c r="F145" s="61"/>
      <c r="G145" s="15"/>
      <c r="H145" s="31"/>
      <c r="I145" s="31"/>
      <c r="J145" s="32"/>
      <c r="L145" s="38"/>
      <c r="M145" s="325"/>
      <c r="N145" s="325"/>
      <c r="O145" s="325"/>
      <c r="P145" s="325"/>
      <c r="Q145" s="61"/>
      <c r="R145" s="15"/>
      <c r="S145" s="31"/>
      <c r="T145" s="31"/>
      <c r="U145" s="32"/>
    </row>
    <row r="146" spans="1:21">
      <c r="A146" s="412" t="s">
        <v>233</v>
      </c>
      <c r="B146" s="413"/>
      <c r="C146" s="413"/>
      <c r="D146" s="413"/>
      <c r="E146" s="413"/>
      <c r="F146" s="413"/>
      <c r="G146" s="413"/>
      <c r="H146" s="413"/>
      <c r="I146" s="413"/>
      <c r="J146" s="414"/>
      <c r="L146" s="386" t="s">
        <v>234</v>
      </c>
      <c r="M146" s="387"/>
      <c r="N146" s="387"/>
      <c r="O146" s="387"/>
      <c r="P146" s="387"/>
      <c r="Q146" s="387"/>
      <c r="R146" s="387"/>
      <c r="S146" s="387"/>
      <c r="T146" s="387"/>
      <c r="U146" s="388"/>
    </row>
    <row r="147" spans="1:21" ht="6" customHeight="1">
      <c r="A147" s="415"/>
      <c r="B147" s="416"/>
      <c r="C147" s="416"/>
      <c r="D147" s="416"/>
      <c r="E147" s="416"/>
      <c r="F147" s="416"/>
      <c r="G147" s="416"/>
      <c r="H147" s="416"/>
      <c r="I147" s="416"/>
      <c r="J147" s="417"/>
      <c r="L147" s="389"/>
      <c r="M147" s="390"/>
      <c r="N147" s="390"/>
      <c r="O147" s="390"/>
      <c r="P147" s="390"/>
      <c r="Q147" s="390"/>
      <c r="R147" s="390"/>
      <c r="S147" s="390"/>
      <c r="T147" s="390"/>
      <c r="U147" s="391"/>
    </row>
    <row r="148" spans="1:21">
      <c r="A148" s="38"/>
      <c r="B148" s="31"/>
      <c r="C148" s="325" t="s">
        <v>213</v>
      </c>
      <c r="D148" s="325"/>
      <c r="E148" s="31"/>
      <c r="F148" s="325" t="s">
        <v>214</v>
      </c>
      <c r="G148" s="325"/>
      <c r="I148" s="325" t="s">
        <v>109</v>
      </c>
      <c r="J148" s="336"/>
      <c r="L148" s="38"/>
      <c r="M148" s="31"/>
      <c r="N148" s="325"/>
      <c r="O148" s="325"/>
      <c r="P148" s="31"/>
      <c r="Q148" s="31"/>
      <c r="R148" s="325"/>
      <c r="S148" s="325"/>
      <c r="T148" s="31"/>
      <c r="U148" s="32"/>
    </row>
    <row r="149" spans="1:21">
      <c r="A149" s="392" t="s">
        <v>147</v>
      </c>
      <c r="B149" s="117" t="s">
        <v>215</v>
      </c>
      <c r="C149" s="33" t="s">
        <v>120</v>
      </c>
      <c r="D149" s="63" t="s">
        <v>120</v>
      </c>
      <c r="E149" s="117" t="s">
        <v>217</v>
      </c>
      <c r="F149" s="33">
        <v>2.8</v>
      </c>
      <c r="G149" s="63">
        <f>F149/2</f>
        <v>1.4</v>
      </c>
      <c r="I149" s="63" t="s">
        <v>120</v>
      </c>
      <c r="J149" s="32" t="s">
        <v>34</v>
      </c>
      <c r="L149" s="392"/>
      <c r="M149" s="31"/>
      <c r="N149" s="33"/>
      <c r="O149" s="63"/>
      <c r="P149" s="31"/>
      <c r="Q149" s="31"/>
      <c r="R149" s="33"/>
      <c r="S149" s="63"/>
      <c r="T149" s="31"/>
      <c r="U149" s="32"/>
    </row>
    <row r="150" spans="1:21">
      <c r="A150" s="392"/>
      <c r="B150" s="117" t="s">
        <v>216</v>
      </c>
      <c r="C150" s="33">
        <v>5.62</v>
      </c>
      <c r="D150" s="63">
        <f>C150/2</f>
        <v>2.81</v>
      </c>
      <c r="E150" s="117" t="s">
        <v>218</v>
      </c>
      <c r="F150" s="33">
        <v>3.8</v>
      </c>
      <c r="G150" s="63">
        <f>F150/2</f>
        <v>1.9</v>
      </c>
      <c r="I150" s="31"/>
      <c r="J150" s="32"/>
      <c r="L150" s="392"/>
      <c r="M150" s="31"/>
      <c r="N150" s="33"/>
      <c r="O150" s="63"/>
      <c r="P150" s="31"/>
      <c r="Q150" s="31"/>
      <c r="R150" s="33"/>
      <c r="S150" s="63"/>
      <c r="T150" s="31"/>
      <c r="U150" s="32"/>
    </row>
    <row r="151" spans="1:21" ht="15" customHeight="1">
      <c r="A151" s="38"/>
      <c r="B151" s="31"/>
      <c r="C151" s="31"/>
      <c r="D151" s="31"/>
      <c r="E151" s="31"/>
      <c r="F151" s="31"/>
      <c r="G151" s="31"/>
      <c r="H151" s="31"/>
      <c r="I151" s="31"/>
      <c r="J151" s="32"/>
      <c r="L151" s="38"/>
      <c r="M151" s="31"/>
      <c r="P151" s="31"/>
      <c r="Q151" s="31"/>
      <c r="R151" s="31"/>
      <c r="S151" s="31"/>
      <c r="T151" s="31"/>
      <c r="U151" s="32"/>
    </row>
    <row r="152" spans="1:21">
      <c r="A152" s="399" t="s">
        <v>115</v>
      </c>
      <c r="B152" s="329" t="s">
        <v>204</v>
      </c>
      <c r="C152" s="329"/>
      <c r="D152" s="329"/>
      <c r="E152" s="99">
        <v>1</v>
      </c>
      <c r="F152" s="51"/>
      <c r="G152" s="51"/>
      <c r="H152" s="51"/>
      <c r="I152" s="51"/>
      <c r="J152" s="50"/>
      <c r="L152" s="399"/>
      <c r="M152" s="31"/>
      <c r="N152" s="325"/>
      <c r="O152" s="325"/>
      <c r="P152" s="407"/>
      <c r="Q152" s="325"/>
      <c r="R152" s="325"/>
      <c r="S152" s="325"/>
      <c r="T152" s="325"/>
      <c r="U152" s="32"/>
    </row>
    <row r="153" spans="1:21">
      <c r="A153" s="399"/>
      <c r="B153" s="329"/>
      <c r="C153" s="329"/>
      <c r="D153" s="329"/>
      <c r="E153" s="99">
        <v>1.1000000000000001</v>
      </c>
      <c r="F153" s="51"/>
      <c r="G153" s="51"/>
      <c r="H153" s="51"/>
      <c r="I153" s="51"/>
      <c r="J153" s="50"/>
      <c r="L153" s="399"/>
      <c r="M153" s="31"/>
      <c r="N153" s="325"/>
      <c r="O153" s="325"/>
      <c r="P153" s="407"/>
      <c r="Q153" s="325"/>
      <c r="R153" s="325"/>
      <c r="S153" s="325"/>
      <c r="T153" s="325"/>
      <c r="U153" s="32"/>
    </row>
    <row r="154" spans="1:21" ht="15" customHeight="1">
      <c r="A154" s="399"/>
      <c r="B154" s="329"/>
      <c r="C154" s="329"/>
      <c r="D154" s="329"/>
      <c r="E154" s="99">
        <v>1.2</v>
      </c>
      <c r="F154" s="51"/>
      <c r="G154" s="51"/>
      <c r="H154" s="51"/>
      <c r="I154" s="51"/>
      <c r="J154" s="50"/>
      <c r="L154" s="399"/>
      <c r="M154" s="31"/>
      <c r="N154" s="325"/>
      <c r="O154" s="325"/>
      <c r="P154" s="407"/>
      <c r="Q154" s="325"/>
      <c r="R154" s="325"/>
      <c r="S154" s="325"/>
      <c r="T154" s="325"/>
      <c r="U154" s="32"/>
    </row>
    <row r="155" spans="1:21">
      <c r="A155" s="38"/>
      <c r="B155" s="31"/>
      <c r="C155" s="31"/>
      <c r="D155" s="31"/>
      <c r="E155" s="31"/>
      <c r="F155" s="31"/>
      <c r="G155" s="31"/>
      <c r="H155" s="31"/>
      <c r="I155" s="31"/>
      <c r="J155" s="32"/>
      <c r="L155" s="399"/>
      <c r="M155" s="31"/>
      <c r="N155" s="325"/>
      <c r="O155" s="325"/>
      <c r="P155" s="407"/>
      <c r="Q155" s="325"/>
      <c r="R155" s="325"/>
      <c r="S155" s="325"/>
      <c r="T155" s="325"/>
      <c r="U155" s="32"/>
    </row>
    <row r="156" spans="1:21" ht="33">
      <c r="A156" s="38"/>
      <c r="B156" s="379" t="s">
        <v>142</v>
      </c>
      <c r="C156" s="379"/>
      <c r="D156" s="109"/>
      <c r="E156" s="93" t="s">
        <v>140</v>
      </c>
      <c r="F156" s="94" t="s">
        <v>141</v>
      </c>
      <c r="G156" s="113" t="s">
        <v>207</v>
      </c>
      <c r="H156" s="93" t="s">
        <v>140</v>
      </c>
      <c r="I156" s="89" t="s">
        <v>205</v>
      </c>
      <c r="J156" s="110" t="s">
        <v>181</v>
      </c>
      <c r="L156" s="38"/>
      <c r="M156" s="31"/>
      <c r="N156" s="31"/>
      <c r="O156" s="31"/>
      <c r="P156" s="31"/>
      <c r="Q156" s="31"/>
      <c r="R156" s="31"/>
      <c r="S156" s="31"/>
      <c r="T156" s="31"/>
      <c r="U156" s="32"/>
    </row>
    <row r="157" spans="1:21" ht="17.25">
      <c r="A157" s="38"/>
      <c r="B157" s="318" t="s">
        <v>139</v>
      </c>
      <c r="C157" s="318"/>
      <c r="D157" s="108">
        <f>((E152*D150)*(E152*G150))+((E152*D150)*(E152*G149))</f>
        <v>9.2729999999999997</v>
      </c>
      <c r="E157" s="114" t="s">
        <v>208</v>
      </c>
      <c r="F157" s="33">
        <f>'3.Riepilogo carichi unitari'!$H$4</f>
        <v>10.37895</v>
      </c>
      <c r="G157" s="33">
        <f>'3.Riepilogo carichi unitari'!$J$4</f>
        <v>6.0914999999999999</v>
      </c>
      <c r="H157" s="62" t="s">
        <v>209</v>
      </c>
      <c r="I157" s="61">
        <f>D157*F157</f>
        <v>96.24400335</v>
      </c>
      <c r="J157" s="111">
        <f>D157*G157</f>
        <v>56.486479499999994</v>
      </c>
      <c r="L157" s="38"/>
      <c r="M157" s="410"/>
      <c r="N157" s="410"/>
      <c r="O157" s="31"/>
      <c r="P157" s="62"/>
      <c r="Q157" s="31"/>
      <c r="R157" s="15"/>
      <c r="S157" s="62"/>
      <c r="T157" s="329"/>
      <c r="U157" s="411"/>
    </row>
    <row r="158" spans="1:21" ht="17.25">
      <c r="A158" s="38"/>
      <c r="B158" s="318" t="s">
        <v>138</v>
      </c>
      <c r="C158" s="318"/>
      <c r="D158" s="33"/>
      <c r="E158" s="93" t="s">
        <v>208</v>
      </c>
      <c r="F158" s="33">
        <f>'3.Riepilogo carichi unitari'!$H$7</f>
        <v>10.95495</v>
      </c>
      <c r="G158" s="33">
        <f>'3.Riepilogo carichi unitari'!$J$7</f>
        <v>6.2115000000000009</v>
      </c>
      <c r="H158" s="62" t="s">
        <v>209</v>
      </c>
      <c r="I158" s="61"/>
      <c r="J158" s="111"/>
      <c r="L158" s="38"/>
      <c r="M158" s="318"/>
      <c r="N158" s="318"/>
      <c r="O158" s="33"/>
      <c r="P158" s="15"/>
      <c r="Q158" s="31"/>
      <c r="R158" s="33"/>
      <c r="S158" s="34"/>
      <c r="T158" s="408"/>
      <c r="U158" s="409"/>
    </row>
    <row r="159" spans="1:21" ht="17.25">
      <c r="A159" s="38"/>
      <c r="B159" s="318" t="s">
        <v>137</v>
      </c>
      <c r="C159" s="318"/>
      <c r="D159" s="33"/>
      <c r="E159" s="93" t="s">
        <v>208</v>
      </c>
      <c r="F159" s="33">
        <f>'3.Riepilogo carichi unitari'!$H$7</f>
        <v>10.95495</v>
      </c>
      <c r="G159" s="33">
        <f>'3.Riepilogo carichi unitari'!$J$7</f>
        <v>6.2115000000000009</v>
      </c>
      <c r="H159" s="62" t="s">
        <v>209</v>
      </c>
      <c r="I159" s="61"/>
      <c r="J159" s="111"/>
      <c r="L159" s="38"/>
      <c r="M159" s="318"/>
      <c r="N159" s="318"/>
      <c r="O159" s="33"/>
      <c r="P159" s="15"/>
      <c r="Q159" s="31"/>
      <c r="R159" s="33"/>
      <c r="S159" s="34"/>
      <c r="T159" s="408"/>
      <c r="U159" s="409"/>
    </row>
    <row r="160" spans="1:21" ht="17.25">
      <c r="A160" s="38"/>
      <c r="B160" s="318" t="s">
        <v>136</v>
      </c>
      <c r="C160" s="318"/>
      <c r="D160" s="33"/>
      <c r="E160" s="93" t="s">
        <v>208</v>
      </c>
      <c r="F160" s="33">
        <f>'3.Riepilogo carichi unitari'!$H$8</f>
        <v>15.237165368783602</v>
      </c>
      <c r="G160" s="33">
        <f>'3.Riepilogo carichi unitari'!$J$8</f>
        <v>9.5055118221412318</v>
      </c>
      <c r="H160" s="62" t="s">
        <v>210</v>
      </c>
      <c r="I160" s="61"/>
      <c r="J160" s="111"/>
      <c r="L160" s="38"/>
      <c r="M160" s="318"/>
      <c r="N160" s="318"/>
      <c r="O160" s="33"/>
      <c r="P160" s="15"/>
      <c r="Q160" s="31"/>
      <c r="R160" s="33"/>
      <c r="S160" s="34"/>
      <c r="T160" s="408"/>
      <c r="U160" s="409"/>
    </row>
    <row r="161" spans="1:21">
      <c r="A161" s="38"/>
      <c r="B161" s="318" t="s">
        <v>123</v>
      </c>
      <c r="C161" s="318"/>
      <c r="D161" s="33">
        <f>(E152*G150)+(E152*G149)</f>
        <v>3.3</v>
      </c>
      <c r="E161" s="93" t="s">
        <v>34</v>
      </c>
      <c r="F161" s="33">
        <f>'3.Riepilogo carichi unitari'!$H$11</f>
        <v>7.8416000000000015</v>
      </c>
      <c r="G161" s="33">
        <f>'3.Riepilogo carichi unitari'!$J$11</f>
        <v>6.0320000000000009</v>
      </c>
      <c r="H161" s="62" t="s">
        <v>102</v>
      </c>
      <c r="I161" s="61">
        <f t="shared" ref="I161:I162" si="26">D161*F161</f>
        <v>25.877280000000003</v>
      </c>
      <c r="J161" s="111">
        <f t="shared" ref="J161:J162" si="27">D161*G161</f>
        <v>19.905600000000003</v>
      </c>
      <c r="L161" s="38"/>
      <c r="M161" s="318"/>
      <c r="N161" s="318"/>
      <c r="O161" s="33"/>
      <c r="P161" s="15"/>
      <c r="Q161" s="31"/>
      <c r="R161" s="33"/>
      <c r="S161" s="34"/>
      <c r="T161" s="408"/>
      <c r="U161" s="409"/>
    </row>
    <row r="162" spans="1:21">
      <c r="A162" s="38"/>
      <c r="B162" s="318" t="s">
        <v>135</v>
      </c>
      <c r="C162" s="318"/>
      <c r="D162" s="33">
        <f>(E152*G150)+(E152*G149)</f>
        <v>3.3</v>
      </c>
      <c r="E162" s="93" t="s">
        <v>34</v>
      </c>
      <c r="F162" s="33">
        <f>'3.Riepilogo carichi unitari'!$H$9</f>
        <v>5.184075</v>
      </c>
      <c r="G162" s="33">
        <f>'3.Riepilogo carichi unitari'!$J$9</f>
        <v>3.9877500000000001</v>
      </c>
      <c r="H162" s="62" t="s">
        <v>102</v>
      </c>
      <c r="I162" s="61">
        <f t="shared" si="26"/>
        <v>17.107447499999999</v>
      </c>
      <c r="J162" s="111">
        <f t="shared" si="27"/>
        <v>13.159575</v>
      </c>
      <c r="L162" s="38"/>
      <c r="M162" s="318"/>
      <c r="N162" s="318"/>
      <c r="O162" s="33"/>
      <c r="P162" s="15"/>
      <c r="Q162" s="31"/>
      <c r="R162" s="33"/>
      <c r="S162" s="34"/>
      <c r="T162" s="408"/>
      <c r="U162" s="409"/>
    </row>
    <row r="163" spans="1:21">
      <c r="A163" s="38"/>
      <c r="B163" s="318" t="s">
        <v>134</v>
      </c>
      <c r="C163" s="318"/>
      <c r="D163" s="33">
        <f>E152*D150</f>
        <v>2.81</v>
      </c>
      <c r="E163" s="93" t="s">
        <v>34</v>
      </c>
      <c r="F163" s="33">
        <f>'3.Riepilogo carichi unitari'!$H$10</f>
        <v>2.3026249999999999</v>
      </c>
      <c r="G163" s="33">
        <f>'3.Riepilogo carichi unitari'!$J$10</f>
        <v>1.7712499999999998</v>
      </c>
      <c r="H163" s="62" t="s">
        <v>102</v>
      </c>
      <c r="I163" s="61">
        <f t="shared" ref="I163" si="28">D163*F163</f>
        <v>6.4703762500000002</v>
      </c>
      <c r="J163" s="111">
        <f t="shared" ref="J163" si="29">D163*G163</f>
        <v>4.9772124999999994</v>
      </c>
      <c r="L163" s="38"/>
      <c r="M163" s="318"/>
      <c r="N163" s="318"/>
      <c r="O163" s="33"/>
      <c r="P163" s="15"/>
      <c r="Q163" s="31"/>
      <c r="R163" s="33"/>
      <c r="S163" s="34"/>
      <c r="T163" s="408"/>
      <c r="U163" s="409"/>
    </row>
    <row r="164" spans="1:21">
      <c r="A164" s="38"/>
      <c r="B164" s="328" t="s">
        <v>133</v>
      </c>
      <c r="C164" s="328"/>
      <c r="D164" s="325"/>
      <c r="E164" s="325"/>
      <c r="F164" s="325"/>
      <c r="G164" s="325"/>
      <c r="H164" s="325"/>
      <c r="I164" s="61">
        <f>SUM(I157:I163)</f>
        <v>145.69910709999999</v>
      </c>
      <c r="J164" s="111">
        <f>SUM(J157:J163)</f>
        <v>94.528866999999991</v>
      </c>
      <c r="L164" s="38"/>
      <c r="M164" s="318"/>
      <c r="N164" s="318"/>
      <c r="O164" s="33"/>
      <c r="P164" s="15"/>
      <c r="Q164" s="31"/>
      <c r="R164" s="33"/>
      <c r="S164" s="34"/>
      <c r="T164" s="408"/>
      <c r="U164" s="409"/>
    </row>
    <row r="165" spans="1:21">
      <c r="A165" s="38"/>
      <c r="B165" s="31"/>
      <c r="C165" s="31"/>
      <c r="D165" s="31"/>
      <c r="E165" s="31"/>
      <c r="F165" s="393" t="s">
        <v>186</v>
      </c>
      <c r="G165" s="394"/>
      <c r="H165" s="393" t="s">
        <v>178</v>
      </c>
      <c r="I165" s="394"/>
      <c r="J165" s="32"/>
      <c r="L165" s="38"/>
      <c r="M165" s="328"/>
      <c r="N165" s="328"/>
      <c r="O165" s="325"/>
      <c r="P165" s="325"/>
      <c r="Q165" s="325"/>
      <c r="R165" s="325"/>
      <c r="S165" s="325"/>
      <c r="T165" s="408"/>
      <c r="U165" s="409"/>
    </row>
    <row r="166" spans="1:21">
      <c r="A166" s="330" t="s">
        <v>212</v>
      </c>
      <c r="B166" s="395"/>
      <c r="C166" s="395"/>
      <c r="D166" s="395"/>
      <c r="E166" s="395"/>
      <c r="F166" s="61">
        <f>I164</f>
        <v>145.69910709999999</v>
      </c>
      <c r="G166" s="94" t="s">
        <v>132</v>
      </c>
      <c r="H166" s="61">
        <f>J164</f>
        <v>94.528866999999991</v>
      </c>
      <c r="I166" s="94" t="s">
        <v>132</v>
      </c>
      <c r="J166" s="115"/>
      <c r="L166" s="38"/>
      <c r="M166" s="31"/>
      <c r="N166" s="31"/>
      <c r="O166" s="31"/>
      <c r="P166" s="31"/>
      <c r="Q166" s="31"/>
      <c r="R166" s="31"/>
      <c r="S166" s="31"/>
      <c r="T166" s="31"/>
      <c r="U166" s="32"/>
    </row>
    <row r="167" spans="1:21" ht="15.75">
      <c r="A167" s="396" t="s">
        <v>211</v>
      </c>
      <c r="B167" s="397"/>
      <c r="C167" s="397"/>
      <c r="D167" s="397"/>
      <c r="E167" s="397"/>
      <c r="F167" s="106">
        <f>F166*1.07</f>
        <v>155.89804459699999</v>
      </c>
      <c r="G167" s="107" t="s">
        <v>132</v>
      </c>
      <c r="H167" s="106">
        <f>H166*1.06</f>
        <v>100.20059902</v>
      </c>
      <c r="I167" s="107" t="s">
        <v>132</v>
      </c>
      <c r="J167" s="120" t="s">
        <v>224</v>
      </c>
      <c r="L167" s="38"/>
      <c r="M167" s="325"/>
      <c r="N167" s="325"/>
      <c r="O167" s="325"/>
      <c r="P167" s="325"/>
      <c r="Q167" s="61"/>
      <c r="R167" s="15"/>
      <c r="S167" s="31"/>
      <c r="T167" s="31"/>
      <c r="U167" s="32"/>
    </row>
    <row r="168" spans="1:21" ht="15.75">
      <c r="A168" s="60"/>
      <c r="B168" s="95"/>
      <c r="C168" s="95"/>
      <c r="D168" s="400" t="s">
        <v>206</v>
      </c>
      <c r="E168" s="400"/>
      <c r="F168" s="112">
        <f>F167*6</f>
        <v>935.38826758200003</v>
      </c>
      <c r="G168" s="58" t="s">
        <v>132</v>
      </c>
      <c r="H168" s="112">
        <f>H167*6</f>
        <v>601.20359411999993</v>
      </c>
      <c r="I168" s="58" t="s">
        <v>132</v>
      </c>
      <c r="J168" s="116"/>
      <c r="L168" s="38"/>
      <c r="M168" s="318"/>
      <c r="N168" s="318"/>
      <c r="O168" s="318"/>
      <c r="P168" s="318"/>
      <c r="Q168" s="61"/>
      <c r="R168" s="15"/>
      <c r="S168" s="31"/>
      <c r="T168" s="31"/>
      <c r="U168" s="32"/>
    </row>
    <row r="169" spans="1:21" ht="15.75">
      <c r="A169" s="38"/>
      <c r="B169" s="325"/>
      <c r="C169" s="325"/>
      <c r="D169" s="325"/>
      <c r="E169" s="325"/>
      <c r="F169" s="61"/>
      <c r="G169" s="15"/>
      <c r="H169" s="31"/>
      <c r="I169" s="31"/>
      <c r="J169" s="32"/>
      <c r="L169" s="60"/>
      <c r="M169" s="398"/>
      <c r="N169" s="398"/>
      <c r="O169" s="398"/>
      <c r="P169" s="398"/>
      <c r="Q169" s="59"/>
      <c r="R169" s="58"/>
      <c r="S169" s="42"/>
      <c r="T169" s="42"/>
      <c r="U169" s="44"/>
    </row>
    <row r="170" spans="1:21">
      <c r="A170" s="386" t="s">
        <v>235</v>
      </c>
      <c r="B170" s="387"/>
      <c r="C170" s="387"/>
      <c r="D170" s="387"/>
      <c r="E170" s="387"/>
      <c r="F170" s="387"/>
      <c r="G170" s="387"/>
      <c r="H170" s="387"/>
      <c r="I170" s="387"/>
      <c r="J170" s="388"/>
    </row>
    <row r="171" spans="1:21" ht="6" customHeight="1">
      <c r="A171" s="389"/>
      <c r="B171" s="390"/>
      <c r="C171" s="390"/>
      <c r="D171" s="390"/>
      <c r="E171" s="390"/>
      <c r="F171" s="390"/>
      <c r="G171" s="390"/>
      <c r="H171" s="390"/>
      <c r="I171" s="390"/>
      <c r="J171" s="391"/>
    </row>
    <row r="172" spans="1:21">
      <c r="A172" s="38"/>
      <c r="B172" s="31"/>
      <c r="C172" s="325"/>
      <c r="D172" s="325"/>
      <c r="E172" s="31"/>
      <c r="F172" s="31"/>
      <c r="G172" s="325"/>
      <c r="H172" s="325"/>
      <c r="I172" s="31"/>
      <c r="J172" s="32"/>
    </row>
    <row r="173" spans="1:21">
      <c r="A173" s="392"/>
      <c r="B173" s="31"/>
      <c r="C173" s="33"/>
      <c r="D173" s="63"/>
      <c r="E173" s="31"/>
      <c r="F173" s="31"/>
      <c r="G173" s="33"/>
      <c r="H173" s="63"/>
      <c r="I173" s="31"/>
      <c r="J173" s="32"/>
    </row>
    <row r="174" spans="1:21">
      <c r="A174" s="392"/>
      <c r="B174" s="31"/>
      <c r="C174" s="33"/>
      <c r="D174" s="63"/>
      <c r="E174" s="31"/>
      <c r="F174" s="31"/>
      <c r="G174" s="33"/>
      <c r="H174" s="63"/>
      <c r="I174" s="31"/>
      <c r="J174" s="32"/>
    </row>
    <row r="175" spans="1:21">
      <c r="A175" s="38"/>
      <c r="B175" s="31"/>
      <c r="E175" s="31"/>
      <c r="F175" s="31"/>
      <c r="G175" s="31"/>
      <c r="H175" s="31"/>
      <c r="I175" s="31"/>
      <c r="J175" s="32"/>
    </row>
    <row r="176" spans="1:21">
      <c r="A176" s="399"/>
      <c r="B176" s="31"/>
      <c r="C176" s="325"/>
      <c r="D176" s="325"/>
      <c r="E176" s="407"/>
      <c r="F176" s="325"/>
      <c r="G176" s="325"/>
      <c r="H176" s="325"/>
      <c r="I176" s="325"/>
      <c r="J176" s="32"/>
    </row>
    <row r="177" spans="1:10">
      <c r="A177" s="399"/>
      <c r="B177" s="31"/>
      <c r="C177" s="325"/>
      <c r="D177" s="325"/>
      <c r="E177" s="407"/>
      <c r="F177" s="325"/>
      <c r="G177" s="325"/>
      <c r="H177" s="325"/>
      <c r="I177" s="325"/>
      <c r="J177" s="32"/>
    </row>
    <row r="178" spans="1:10">
      <c r="A178" s="399"/>
      <c r="B178" s="31"/>
      <c r="C178" s="325"/>
      <c r="D178" s="325"/>
      <c r="E178" s="407"/>
      <c r="F178" s="325"/>
      <c r="G178" s="325"/>
      <c r="H178" s="325"/>
      <c r="I178" s="325"/>
      <c r="J178" s="32"/>
    </row>
    <row r="179" spans="1:10">
      <c r="A179" s="399"/>
      <c r="B179" s="31"/>
      <c r="C179" s="325"/>
      <c r="D179" s="325"/>
      <c r="E179" s="407"/>
      <c r="F179" s="325"/>
      <c r="G179" s="325"/>
      <c r="H179" s="325"/>
      <c r="I179" s="325"/>
      <c r="J179" s="32"/>
    </row>
    <row r="180" spans="1:10">
      <c r="A180" s="38"/>
      <c r="B180" s="31"/>
      <c r="E180" s="31"/>
      <c r="F180" s="31"/>
      <c r="G180" s="31"/>
      <c r="H180" s="31"/>
      <c r="I180" s="31"/>
      <c r="J180" s="32"/>
    </row>
    <row r="181" spans="1:10">
      <c r="A181" s="38"/>
      <c r="B181" s="410"/>
      <c r="C181" s="410"/>
      <c r="D181" s="31"/>
      <c r="E181" s="62"/>
      <c r="F181" s="31"/>
      <c r="G181" s="15"/>
      <c r="H181" s="62"/>
      <c r="I181" s="329"/>
      <c r="J181" s="411"/>
    </row>
    <row r="182" spans="1:10">
      <c r="A182" s="38"/>
      <c r="B182" s="318"/>
      <c r="C182" s="318"/>
      <c r="D182" s="33"/>
      <c r="E182" s="15"/>
      <c r="F182" s="31"/>
      <c r="G182" s="33"/>
      <c r="H182" s="34"/>
      <c r="I182" s="408"/>
      <c r="J182" s="409"/>
    </row>
    <row r="183" spans="1:10">
      <c r="A183" s="38"/>
      <c r="B183" s="318"/>
      <c r="C183" s="318"/>
      <c r="D183" s="33"/>
      <c r="E183" s="15"/>
      <c r="F183" s="31"/>
      <c r="G183" s="33"/>
      <c r="H183" s="34"/>
      <c r="I183" s="408"/>
      <c r="J183" s="409"/>
    </row>
    <row r="184" spans="1:10">
      <c r="A184" s="38"/>
      <c r="B184" s="318"/>
      <c r="C184" s="318"/>
      <c r="D184" s="33"/>
      <c r="E184" s="15"/>
      <c r="F184" s="31"/>
      <c r="G184" s="33"/>
      <c r="H184" s="34"/>
      <c r="I184" s="408"/>
      <c r="J184" s="409"/>
    </row>
    <row r="185" spans="1:10">
      <c r="A185" s="38"/>
      <c r="B185" s="318"/>
      <c r="C185" s="318"/>
      <c r="D185" s="33"/>
      <c r="E185" s="15"/>
      <c r="F185" s="31"/>
      <c r="G185" s="33"/>
      <c r="H185" s="34"/>
      <c r="I185" s="408"/>
      <c r="J185" s="409"/>
    </row>
    <row r="186" spans="1:10">
      <c r="A186" s="38"/>
      <c r="B186" s="318"/>
      <c r="C186" s="318"/>
      <c r="D186" s="33"/>
      <c r="E186" s="15"/>
      <c r="F186" s="31"/>
      <c r="G186" s="33"/>
      <c r="H186" s="34"/>
      <c r="I186" s="408"/>
      <c r="J186" s="409"/>
    </row>
    <row r="187" spans="1:10">
      <c r="A187" s="38"/>
      <c r="B187" s="318"/>
      <c r="C187" s="318"/>
      <c r="D187" s="33"/>
      <c r="E187" s="15"/>
      <c r="F187" s="31"/>
      <c r="G187" s="33"/>
      <c r="H187" s="34"/>
      <c r="I187" s="408"/>
      <c r="J187" s="409"/>
    </row>
    <row r="188" spans="1:10">
      <c r="A188" s="38"/>
      <c r="B188" s="318"/>
      <c r="C188" s="318"/>
      <c r="D188" s="33"/>
      <c r="E188" s="15"/>
      <c r="F188" s="31"/>
      <c r="G188" s="33"/>
      <c r="H188" s="34"/>
      <c r="I188" s="408"/>
      <c r="J188" s="409"/>
    </row>
    <row r="189" spans="1:10">
      <c r="A189" s="38"/>
      <c r="B189" s="328"/>
      <c r="C189" s="328"/>
      <c r="D189" s="325"/>
      <c r="E189" s="325"/>
      <c r="F189" s="325"/>
      <c r="G189" s="325"/>
      <c r="H189" s="325"/>
      <c r="I189" s="408"/>
      <c r="J189" s="409"/>
    </row>
    <row r="190" spans="1:10">
      <c r="A190" s="38"/>
      <c r="B190" s="31"/>
      <c r="C190" s="31"/>
      <c r="D190" s="31"/>
      <c r="E190" s="31"/>
      <c r="F190" s="31"/>
      <c r="G190" s="31"/>
      <c r="H190" s="31"/>
      <c r="I190" s="31"/>
      <c r="J190" s="32"/>
    </row>
    <row r="191" spans="1:10">
      <c r="A191" s="38"/>
      <c r="B191" s="325"/>
      <c r="C191" s="325"/>
      <c r="D191" s="325"/>
      <c r="E191" s="325"/>
      <c r="F191" s="61"/>
      <c r="G191" s="15"/>
      <c r="H191" s="31"/>
      <c r="I191" s="31"/>
      <c r="J191" s="32"/>
    </row>
    <row r="192" spans="1:10">
      <c r="A192" s="38"/>
      <c r="B192" s="318"/>
      <c r="C192" s="318"/>
      <c r="D192" s="318"/>
      <c r="E192" s="318"/>
      <c r="F192" s="61"/>
      <c r="G192" s="15"/>
      <c r="H192" s="31"/>
      <c r="I192" s="31"/>
      <c r="J192" s="32"/>
    </row>
    <row r="193" spans="1:10" ht="15.75">
      <c r="A193" s="60"/>
      <c r="B193" s="398"/>
      <c r="C193" s="398"/>
      <c r="D193" s="398"/>
      <c r="E193" s="398"/>
      <c r="F193" s="59"/>
      <c r="G193" s="58"/>
      <c r="H193" s="42"/>
      <c r="I193" s="42"/>
      <c r="J193" s="44"/>
    </row>
  </sheetData>
  <mergeCells count="375">
    <mergeCell ref="Q124:R124"/>
    <mergeCell ref="T124:U124"/>
    <mergeCell ref="L129:L131"/>
    <mergeCell ref="M129:O131"/>
    <mergeCell ref="M132:N132"/>
    <mergeCell ref="M133:N133"/>
    <mergeCell ref="M134:N134"/>
    <mergeCell ref="O140:S140"/>
    <mergeCell ref="Q141:R141"/>
    <mergeCell ref="S141:T141"/>
    <mergeCell ref="B111:C111"/>
    <mergeCell ref="B112:C112"/>
    <mergeCell ref="M115:N115"/>
    <mergeCell ref="B110:C110"/>
    <mergeCell ref="B113:C113"/>
    <mergeCell ref="B114:C114"/>
    <mergeCell ref="B115:C115"/>
    <mergeCell ref="B107:C107"/>
    <mergeCell ref="B108:C108"/>
    <mergeCell ref="L118:P118"/>
    <mergeCell ref="D119:E119"/>
    <mergeCell ref="O119:P119"/>
    <mergeCell ref="M107:N107"/>
    <mergeCell ref="M108:N108"/>
    <mergeCell ref="M109:N109"/>
    <mergeCell ref="D115:H115"/>
    <mergeCell ref="O115:S115"/>
    <mergeCell ref="F116:G116"/>
    <mergeCell ref="H116:I116"/>
    <mergeCell ref="Q116:R116"/>
    <mergeCell ref="S116:T116"/>
    <mergeCell ref="M110:N110"/>
    <mergeCell ref="M111:N111"/>
    <mergeCell ref="O95:P95"/>
    <mergeCell ref="F99:G99"/>
    <mergeCell ref="I99:J99"/>
    <mergeCell ref="Q99:R99"/>
    <mergeCell ref="T99:U99"/>
    <mergeCell ref="A103:A105"/>
    <mergeCell ref="B103:D105"/>
    <mergeCell ref="L103:L105"/>
    <mergeCell ref="M103:O105"/>
    <mergeCell ref="M96:P96"/>
    <mergeCell ref="B96:E96"/>
    <mergeCell ref="L100:L101"/>
    <mergeCell ref="A97:J98"/>
    <mergeCell ref="C99:D99"/>
    <mergeCell ref="A100:A101"/>
    <mergeCell ref="D95:E95"/>
    <mergeCell ref="I75:J75"/>
    <mergeCell ref="Q75:R75"/>
    <mergeCell ref="T75:U75"/>
    <mergeCell ref="A79:A81"/>
    <mergeCell ref="B79:D81"/>
    <mergeCell ref="M80:O82"/>
    <mergeCell ref="B60:C60"/>
    <mergeCell ref="M60:N60"/>
    <mergeCell ref="B61:C61"/>
    <mergeCell ref="M61:N61"/>
    <mergeCell ref="D67:H67"/>
    <mergeCell ref="O67:S67"/>
    <mergeCell ref="F68:G68"/>
    <mergeCell ref="H68:I68"/>
    <mergeCell ref="Q68:R68"/>
    <mergeCell ref="S68:T68"/>
    <mergeCell ref="M72:P72"/>
    <mergeCell ref="T27:U27"/>
    <mergeCell ref="D23:E23"/>
    <mergeCell ref="L25:U26"/>
    <mergeCell ref="Q27:R27"/>
    <mergeCell ref="N27:O27"/>
    <mergeCell ref="M35:N35"/>
    <mergeCell ref="D71:E71"/>
    <mergeCell ref="O71:P71"/>
    <mergeCell ref="F27:G27"/>
    <mergeCell ref="I27:J27"/>
    <mergeCell ref="D43:H43"/>
    <mergeCell ref="M39:N39"/>
    <mergeCell ref="M40:N40"/>
    <mergeCell ref="M38:N38"/>
    <mergeCell ref="M36:N36"/>
    <mergeCell ref="M37:N37"/>
    <mergeCell ref="L46:P46"/>
    <mergeCell ref="O47:P47"/>
    <mergeCell ref="A69:E69"/>
    <mergeCell ref="A70:E70"/>
    <mergeCell ref="L69:P69"/>
    <mergeCell ref="L70:P70"/>
    <mergeCell ref="B36:C36"/>
    <mergeCell ref="B37:C37"/>
    <mergeCell ref="C172:D172"/>
    <mergeCell ref="G172:H172"/>
    <mergeCell ref="M169:P169"/>
    <mergeCell ref="B183:C183"/>
    <mergeCell ref="I183:J183"/>
    <mergeCell ref="L1:U2"/>
    <mergeCell ref="N3:O3"/>
    <mergeCell ref="Q3:R3"/>
    <mergeCell ref="T3:U3"/>
    <mergeCell ref="L4:L5"/>
    <mergeCell ref="L7:L9"/>
    <mergeCell ref="M7:O9"/>
    <mergeCell ref="M11:N11"/>
    <mergeCell ref="M12:N12"/>
    <mergeCell ref="M13:N13"/>
    <mergeCell ref="M14:N14"/>
    <mergeCell ref="M15:N15"/>
    <mergeCell ref="M16:N16"/>
    <mergeCell ref="M17:N17"/>
    <mergeCell ref="M18:N18"/>
    <mergeCell ref="M19:N19"/>
    <mergeCell ref="O19:S19"/>
    <mergeCell ref="Q20:R20"/>
    <mergeCell ref="S20:T20"/>
    <mergeCell ref="A166:E166"/>
    <mergeCell ref="A167:E167"/>
    <mergeCell ref="D168:E168"/>
    <mergeCell ref="F20:G20"/>
    <mergeCell ref="H20:I20"/>
    <mergeCell ref="A22:E22"/>
    <mergeCell ref="A21:E21"/>
    <mergeCell ref="M168:P168"/>
    <mergeCell ref="L21:P21"/>
    <mergeCell ref="L22:P22"/>
    <mergeCell ref="O23:P23"/>
    <mergeCell ref="A55:A57"/>
    <mergeCell ref="B55:D57"/>
    <mergeCell ref="L55:L57"/>
    <mergeCell ref="M55:O57"/>
    <mergeCell ref="B32:D34"/>
    <mergeCell ref="F44:G44"/>
    <mergeCell ref="H44:I44"/>
    <mergeCell ref="A45:E45"/>
    <mergeCell ref="A46:E46"/>
    <mergeCell ref="D47:E47"/>
    <mergeCell ref="L28:L29"/>
    <mergeCell ref="L31:L33"/>
    <mergeCell ref="F75:G75"/>
    <mergeCell ref="B184:C184"/>
    <mergeCell ref="I184:J184"/>
    <mergeCell ref="B185:C185"/>
    <mergeCell ref="I185:J185"/>
    <mergeCell ref="B169:E169"/>
    <mergeCell ref="B193:E193"/>
    <mergeCell ref="B189:C189"/>
    <mergeCell ref="D189:H189"/>
    <mergeCell ref="B182:C182"/>
    <mergeCell ref="I182:J182"/>
    <mergeCell ref="I189:J189"/>
    <mergeCell ref="B191:E191"/>
    <mergeCell ref="B181:C181"/>
    <mergeCell ref="I181:J181"/>
    <mergeCell ref="A170:J171"/>
    <mergeCell ref="B192:E192"/>
    <mergeCell ref="B186:C186"/>
    <mergeCell ref="I186:J186"/>
    <mergeCell ref="B187:C187"/>
    <mergeCell ref="I187:J187"/>
    <mergeCell ref="B188:C188"/>
    <mergeCell ref="I188:J188"/>
    <mergeCell ref="C177:D177"/>
    <mergeCell ref="E176:E179"/>
    <mergeCell ref="A173:A174"/>
    <mergeCell ref="H176:I176"/>
    <mergeCell ref="C176:D176"/>
    <mergeCell ref="F177:G177"/>
    <mergeCell ref="H177:I177"/>
    <mergeCell ref="C178:D178"/>
    <mergeCell ref="F178:G178"/>
    <mergeCell ref="H178:I178"/>
    <mergeCell ref="A176:A179"/>
    <mergeCell ref="H179:I179"/>
    <mergeCell ref="F176:G176"/>
    <mergeCell ref="C179:D179"/>
    <mergeCell ref="F179:G179"/>
    <mergeCell ref="M167:P167"/>
    <mergeCell ref="M162:N162"/>
    <mergeCell ref="A146:J147"/>
    <mergeCell ref="C148:D148"/>
    <mergeCell ref="N152:O152"/>
    <mergeCell ref="L152:L155"/>
    <mergeCell ref="M164:N164"/>
    <mergeCell ref="L146:U147"/>
    <mergeCell ref="B159:C159"/>
    <mergeCell ref="T162:U162"/>
    <mergeCell ref="M163:N163"/>
    <mergeCell ref="T163:U163"/>
    <mergeCell ref="N148:O148"/>
    <mergeCell ref="R148:S148"/>
    <mergeCell ref="B160:C160"/>
    <mergeCell ref="B161:C161"/>
    <mergeCell ref="B164:C164"/>
    <mergeCell ref="B162:C162"/>
    <mergeCell ref="B163:C163"/>
    <mergeCell ref="L149:L150"/>
    <mergeCell ref="B157:C157"/>
    <mergeCell ref="B158:C158"/>
    <mergeCell ref="D164:H164"/>
    <mergeCell ref="F165:G165"/>
    <mergeCell ref="B139:C139"/>
    <mergeCell ref="L142:P142"/>
    <mergeCell ref="L143:P143"/>
    <mergeCell ref="M145:P145"/>
    <mergeCell ref="O144:P144"/>
    <mergeCell ref="I148:J148"/>
    <mergeCell ref="T164:U164"/>
    <mergeCell ref="M165:N165"/>
    <mergeCell ref="O165:S165"/>
    <mergeCell ref="T165:U165"/>
    <mergeCell ref="M157:N157"/>
    <mergeCell ref="T157:U157"/>
    <mergeCell ref="M158:N158"/>
    <mergeCell ref="T158:U158"/>
    <mergeCell ref="M159:N159"/>
    <mergeCell ref="T161:U161"/>
    <mergeCell ref="T159:U159"/>
    <mergeCell ref="M160:N160"/>
    <mergeCell ref="T160:U160"/>
    <mergeCell ref="M161:N161"/>
    <mergeCell ref="H165:I165"/>
    <mergeCell ref="Q153:R153"/>
    <mergeCell ref="S153:T153"/>
    <mergeCell ref="N155:O155"/>
    <mergeCell ref="Q154:R154"/>
    <mergeCell ref="S154:T154"/>
    <mergeCell ref="N154:O154"/>
    <mergeCell ref="Q155:R155"/>
    <mergeCell ref="S155:T155"/>
    <mergeCell ref="N153:O153"/>
    <mergeCell ref="P152:P155"/>
    <mergeCell ref="Q152:R152"/>
    <mergeCell ref="S152:T152"/>
    <mergeCell ref="A1:J2"/>
    <mergeCell ref="B11:C11"/>
    <mergeCell ref="C3:D3"/>
    <mergeCell ref="G3:H3"/>
    <mergeCell ref="A4:A5"/>
    <mergeCell ref="B18:C18"/>
    <mergeCell ref="B13:C13"/>
    <mergeCell ref="B12:C12"/>
    <mergeCell ref="B7:D9"/>
    <mergeCell ref="A7:A9"/>
    <mergeCell ref="B14:C14"/>
    <mergeCell ref="B15:C15"/>
    <mergeCell ref="B16:C16"/>
    <mergeCell ref="B17:C17"/>
    <mergeCell ref="B39:C39"/>
    <mergeCell ref="A25:J26"/>
    <mergeCell ref="C27:D27"/>
    <mergeCell ref="A28:A29"/>
    <mergeCell ref="A32:A34"/>
    <mergeCell ref="B19:C19"/>
    <mergeCell ref="D19:H19"/>
    <mergeCell ref="M43:N43"/>
    <mergeCell ref="M41:N41"/>
    <mergeCell ref="B40:C40"/>
    <mergeCell ref="B38:C38"/>
    <mergeCell ref="B35:C35"/>
    <mergeCell ref="M31:O33"/>
    <mergeCell ref="O43:S43"/>
    <mergeCell ref="Q44:R44"/>
    <mergeCell ref="S44:T44"/>
    <mergeCell ref="L45:P45"/>
    <mergeCell ref="M42:N42"/>
    <mergeCell ref="A49:J50"/>
    <mergeCell ref="C51:D51"/>
    <mergeCell ref="B41:C41"/>
    <mergeCell ref="B42:C42"/>
    <mergeCell ref="Q51:R51"/>
    <mergeCell ref="T51:U51"/>
    <mergeCell ref="B43:C43"/>
    <mergeCell ref="L49:U50"/>
    <mergeCell ref="N51:O51"/>
    <mergeCell ref="F51:G51"/>
    <mergeCell ref="I51:J51"/>
    <mergeCell ref="A52:A53"/>
    <mergeCell ref="B64:C64"/>
    <mergeCell ref="B65:C65"/>
    <mergeCell ref="B66:C66"/>
    <mergeCell ref="B67:C67"/>
    <mergeCell ref="M66:N66"/>
    <mergeCell ref="M67:N67"/>
    <mergeCell ref="M64:N64"/>
    <mergeCell ref="M65:N65"/>
    <mergeCell ref="M62:N62"/>
    <mergeCell ref="B62:C62"/>
    <mergeCell ref="B63:C63"/>
    <mergeCell ref="M63:N63"/>
    <mergeCell ref="L52:L53"/>
    <mergeCell ref="B59:C59"/>
    <mergeCell ref="M59:N59"/>
    <mergeCell ref="B86:C86"/>
    <mergeCell ref="B87:C87"/>
    <mergeCell ref="B90:C90"/>
    <mergeCell ref="B91:C91"/>
    <mergeCell ref="M86:N86"/>
    <mergeCell ref="B85:C85"/>
    <mergeCell ref="M85:N85"/>
    <mergeCell ref="D91:H91"/>
    <mergeCell ref="B72:E72"/>
    <mergeCell ref="B83:C83"/>
    <mergeCell ref="M83:N83"/>
    <mergeCell ref="B84:C84"/>
    <mergeCell ref="M84:N84"/>
    <mergeCell ref="A73:J74"/>
    <mergeCell ref="C75:D75"/>
    <mergeCell ref="A76:A77"/>
    <mergeCell ref="L73:U74"/>
    <mergeCell ref="N75:O75"/>
    <mergeCell ref="L76:L77"/>
    <mergeCell ref="L80:L82"/>
    <mergeCell ref="M87:N87"/>
    <mergeCell ref="M88:N88"/>
    <mergeCell ref="M89:N89"/>
    <mergeCell ref="M91:N91"/>
    <mergeCell ref="F92:G92"/>
    <mergeCell ref="H92:I92"/>
    <mergeCell ref="A93:E93"/>
    <mergeCell ref="A94:E94"/>
    <mergeCell ref="B88:C88"/>
    <mergeCell ref="B89:C89"/>
    <mergeCell ref="Q92:R92"/>
    <mergeCell ref="S92:T92"/>
    <mergeCell ref="L93:P93"/>
    <mergeCell ref="L94:P94"/>
    <mergeCell ref="M90:N90"/>
    <mergeCell ref="O91:S91"/>
    <mergeCell ref="A149:A150"/>
    <mergeCell ref="A152:A154"/>
    <mergeCell ref="B152:D154"/>
    <mergeCell ref="L122:U123"/>
    <mergeCell ref="N124:O124"/>
    <mergeCell ref="L125:L126"/>
    <mergeCell ref="M135:N135"/>
    <mergeCell ref="M136:N136"/>
    <mergeCell ref="A142:E142"/>
    <mergeCell ref="A143:E143"/>
    <mergeCell ref="D144:E144"/>
    <mergeCell ref="F124:G124"/>
    <mergeCell ref="I124:J124"/>
    <mergeCell ref="A128:A130"/>
    <mergeCell ref="B128:D130"/>
    <mergeCell ref="B132:C132"/>
    <mergeCell ref="B133:C133"/>
    <mergeCell ref="B134:C134"/>
    <mergeCell ref="M139:N139"/>
    <mergeCell ref="B145:E145"/>
    <mergeCell ref="B135:C135"/>
    <mergeCell ref="B136:C136"/>
    <mergeCell ref="B137:C137"/>
    <mergeCell ref="B138:C138"/>
    <mergeCell ref="B156:C156"/>
    <mergeCell ref="B109:C109"/>
    <mergeCell ref="L97:U98"/>
    <mergeCell ref="N99:O99"/>
    <mergeCell ref="M113:N113"/>
    <mergeCell ref="M114:N114"/>
    <mergeCell ref="B140:C140"/>
    <mergeCell ref="M121:P121"/>
    <mergeCell ref="A122:J123"/>
    <mergeCell ref="C124:D124"/>
    <mergeCell ref="A125:A126"/>
    <mergeCell ref="M138:N138"/>
    <mergeCell ref="M140:N140"/>
    <mergeCell ref="D140:H140"/>
    <mergeCell ref="F141:G141"/>
    <mergeCell ref="H141:I141"/>
    <mergeCell ref="A117:E117"/>
    <mergeCell ref="L117:P117"/>
    <mergeCell ref="A118:E118"/>
    <mergeCell ref="M120:P120"/>
    <mergeCell ref="B120:E120"/>
    <mergeCell ref="M137:N137"/>
    <mergeCell ref="M112:N112"/>
    <mergeCell ref="F148:G148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M18"/>
  <sheetViews>
    <sheetView topLeftCell="B1" workbookViewId="0">
      <selection activeCell="L8" sqref="L8"/>
    </sheetView>
  </sheetViews>
  <sheetFormatPr defaultRowHeight="15"/>
  <cols>
    <col min="1" max="1" width="1.5703125" customWidth="1"/>
  </cols>
  <sheetData>
    <row r="1" spans="2:13" ht="6.75" customHeight="1" thickBot="1"/>
    <row r="2" spans="2:13" ht="15.75" thickBot="1">
      <c r="B2" s="418" t="s">
        <v>246</v>
      </c>
      <c r="C2" s="419"/>
      <c r="D2" s="419"/>
      <c r="E2" s="419"/>
      <c r="F2" s="420"/>
    </row>
    <row r="3" spans="2:13" ht="26.25" customHeight="1" thickBot="1">
      <c r="B3" s="423" t="s">
        <v>236</v>
      </c>
      <c r="C3" s="424"/>
      <c r="D3" s="121" t="s">
        <v>238</v>
      </c>
      <c r="E3" s="122" t="s">
        <v>239</v>
      </c>
      <c r="F3" s="123" t="s">
        <v>237</v>
      </c>
    </row>
    <row r="4" spans="2:13" ht="15.75" thickBot="1">
      <c r="B4" s="421" t="s">
        <v>247</v>
      </c>
      <c r="C4" s="422"/>
      <c r="D4" s="131">
        <f>'Carico pilastri'!F22</f>
        <v>330.97976664750001</v>
      </c>
      <c r="E4" s="131">
        <f>'Carico pilastri'!H22</f>
        <v>205.75306357500006</v>
      </c>
      <c r="F4" s="124" t="s">
        <v>26</v>
      </c>
    </row>
    <row r="5" spans="2:13" ht="15.75" thickBot="1">
      <c r="B5" s="421" t="s">
        <v>248</v>
      </c>
      <c r="C5" s="422"/>
      <c r="D5" s="132">
        <f>'Carico pilastri'!Q22</f>
        <v>200.59740801500004</v>
      </c>
      <c r="E5" s="132">
        <f>'Carico pilastri'!S22</f>
        <v>127.56630155000002</v>
      </c>
      <c r="F5" s="125" t="s">
        <v>26</v>
      </c>
      <c r="H5" s="427" t="s">
        <v>240</v>
      </c>
      <c r="I5" s="427"/>
      <c r="J5" s="427"/>
      <c r="K5" s="427"/>
      <c r="L5" s="427"/>
      <c r="M5" s="427"/>
    </row>
    <row r="6" spans="2:13" ht="15.75" thickBot="1">
      <c r="B6" s="421" t="s">
        <v>249</v>
      </c>
      <c r="C6" s="422"/>
      <c r="D6" s="132">
        <f>'Carico pilastri'!F46</f>
        <v>152.47856462995929</v>
      </c>
      <c r="E6" s="132">
        <f>'Carico pilastri'!H46</f>
        <v>96.759456974298644</v>
      </c>
      <c r="F6" s="125" t="s">
        <v>26</v>
      </c>
      <c r="H6" s="142"/>
      <c r="I6" s="143" t="s">
        <v>242</v>
      </c>
      <c r="J6" s="143" t="s">
        <v>243</v>
      </c>
      <c r="K6" s="143" t="s">
        <v>237</v>
      </c>
      <c r="L6" s="143" t="s">
        <v>206</v>
      </c>
      <c r="M6" s="144" t="s">
        <v>237</v>
      </c>
    </row>
    <row r="7" spans="2:13" ht="15.75" thickBot="1">
      <c r="B7" s="421" t="s">
        <v>250</v>
      </c>
      <c r="C7" s="422"/>
      <c r="D7" s="132">
        <f>'Carico pilastri'!Q46</f>
        <v>199.45608472084311</v>
      </c>
      <c r="E7" s="132">
        <f>'Carico pilastri'!S46</f>
        <v>131.13771870834083</v>
      </c>
      <c r="F7" s="125" t="s">
        <v>26</v>
      </c>
      <c r="H7" s="127" t="s">
        <v>244</v>
      </c>
      <c r="I7" s="128" t="s">
        <v>255</v>
      </c>
      <c r="J7" s="134">
        <f>MAX(D4:D18)</f>
        <v>371.85461288227083</v>
      </c>
      <c r="K7" s="139" t="s">
        <v>26</v>
      </c>
      <c r="L7" s="139">
        <f>'Carico pilastri'!F119</f>
        <v>2231.1276772936249</v>
      </c>
      <c r="M7" s="141" t="s">
        <v>26</v>
      </c>
    </row>
    <row r="8" spans="2:13" ht="15.75" thickBot="1">
      <c r="B8" s="421" t="s">
        <v>251</v>
      </c>
      <c r="C8" s="422"/>
      <c r="D8" s="132">
        <f>'Carico pilastri'!F70</f>
        <v>291.25026980349998</v>
      </c>
      <c r="E8" s="132">
        <f>'Carico pilastri'!H70</f>
        <v>183.09514169500002</v>
      </c>
      <c r="F8" s="125" t="s">
        <v>26</v>
      </c>
      <c r="H8" s="129" t="s">
        <v>245</v>
      </c>
      <c r="I8" s="130" t="s">
        <v>255</v>
      </c>
      <c r="J8" s="135">
        <f>MAX(E4:E18)</f>
        <v>230.33333154790057</v>
      </c>
      <c r="K8" s="130" t="s">
        <v>26</v>
      </c>
      <c r="L8" s="135">
        <f>'Carico pilastri'!H119</f>
        <v>1381.9999892874034</v>
      </c>
      <c r="M8" s="136" t="s">
        <v>26</v>
      </c>
    </row>
    <row r="9" spans="2:13" ht="15.75" thickBot="1">
      <c r="B9" s="421" t="s">
        <v>252</v>
      </c>
      <c r="C9" s="422"/>
      <c r="D9" s="132"/>
      <c r="E9" s="132"/>
      <c r="F9" s="125" t="s">
        <v>26</v>
      </c>
    </row>
    <row r="10" spans="2:13" ht="15.75" thickBot="1">
      <c r="B10" s="421" t="s">
        <v>253</v>
      </c>
      <c r="C10" s="422"/>
      <c r="D10" s="132">
        <f>'Carico pilastri'!F94</f>
        <v>268.42509068250001</v>
      </c>
      <c r="E10" s="132">
        <f>'Carico pilastri'!H94</f>
        <v>168.64740052500005</v>
      </c>
      <c r="F10" s="125" t="s">
        <v>26</v>
      </c>
    </row>
    <row r="11" spans="2:13" ht="15.75" thickBot="1">
      <c r="B11" s="421" t="s">
        <v>254</v>
      </c>
      <c r="C11" s="422"/>
      <c r="D11" s="132">
        <f>'Carico pilastri'!Q94</f>
        <v>322.67056589175002</v>
      </c>
      <c r="E11" s="132">
        <f>'Carico pilastri'!S94</f>
        <v>196.74012114750002</v>
      </c>
      <c r="F11" s="125" t="s">
        <v>26</v>
      </c>
      <c r="H11" s="427" t="s">
        <v>241</v>
      </c>
      <c r="I11" s="427"/>
      <c r="J11" s="427"/>
      <c r="K11" s="427"/>
      <c r="L11" s="427"/>
      <c r="M11" s="427"/>
    </row>
    <row r="12" spans="2:13" ht="15.75" thickBot="1">
      <c r="B12" s="421" t="s">
        <v>255</v>
      </c>
      <c r="C12" s="422"/>
      <c r="D12" s="132">
        <f>'Carico pilastri'!F118</f>
        <v>371.85461288227083</v>
      </c>
      <c r="E12" s="132">
        <f>'Carico pilastri'!H118</f>
        <v>230.33333154790057</v>
      </c>
      <c r="F12" s="125" t="s">
        <v>26</v>
      </c>
      <c r="H12" s="142"/>
      <c r="I12" s="143" t="s">
        <v>242</v>
      </c>
      <c r="J12" s="143" t="s">
        <v>243</v>
      </c>
      <c r="K12" s="143" t="s">
        <v>237</v>
      </c>
      <c r="L12" s="143" t="s">
        <v>206</v>
      </c>
      <c r="M12" s="144" t="s">
        <v>237</v>
      </c>
    </row>
    <row r="13" spans="2:13" ht="15.75" thickBot="1">
      <c r="B13" s="421" t="s">
        <v>256</v>
      </c>
      <c r="C13" s="422"/>
      <c r="D13" s="132">
        <f>'Carico pilastri'!Q118</f>
        <v>272.70476457715012</v>
      </c>
      <c r="E13" s="132">
        <f>'Carico pilastri'!S118</f>
        <v>171.30715350550003</v>
      </c>
      <c r="F13" s="125" t="s">
        <v>26</v>
      </c>
      <c r="H13" s="127" t="s">
        <v>244</v>
      </c>
      <c r="I13" s="128" t="s">
        <v>258</v>
      </c>
      <c r="J13" s="134">
        <f>MIN(D4:D18)</f>
        <v>144.25606863002798</v>
      </c>
      <c r="K13" s="139" t="s">
        <v>26</v>
      </c>
      <c r="L13" s="139">
        <f>'Carico pilastri'!F47</f>
        <v>914.87138777975576</v>
      </c>
      <c r="M13" s="140" t="s">
        <v>26</v>
      </c>
    </row>
    <row r="14" spans="2:13" ht="15.75" thickBot="1">
      <c r="B14" s="421" t="s">
        <v>257</v>
      </c>
      <c r="C14" s="422"/>
      <c r="D14" s="132"/>
      <c r="E14" s="132"/>
      <c r="F14" s="125" t="s">
        <v>26</v>
      </c>
      <c r="H14" s="129" t="s">
        <v>245</v>
      </c>
      <c r="I14" s="130" t="s">
        <v>258</v>
      </c>
      <c r="J14" s="138">
        <f>MIN(E4:E18)</f>
        <v>92.594864352831024</v>
      </c>
      <c r="K14" s="130" t="s">
        <v>26</v>
      </c>
      <c r="L14" s="135">
        <f>'Carico pilastri'!H47</f>
        <v>580.55674184579186</v>
      </c>
      <c r="M14" s="137" t="s">
        <v>26</v>
      </c>
    </row>
    <row r="15" spans="2:13" ht="15.75" thickBot="1">
      <c r="B15" s="421" t="s">
        <v>258</v>
      </c>
      <c r="C15" s="422"/>
      <c r="D15" s="132">
        <f>'Carico pilastri'!Q143</f>
        <v>144.25606863002798</v>
      </c>
      <c r="E15" s="132">
        <f>'Carico pilastri'!S143</f>
        <v>92.594864352831024</v>
      </c>
      <c r="F15" s="125" t="s">
        <v>26</v>
      </c>
    </row>
    <row r="16" spans="2:13" ht="15.75" thickBot="1">
      <c r="B16" s="421" t="s">
        <v>259</v>
      </c>
      <c r="C16" s="422"/>
      <c r="D16" s="132">
        <f>'Carico pilastri'!F167</f>
        <v>155.89804459699999</v>
      </c>
      <c r="E16" s="132">
        <f>'Carico pilastri'!H167</f>
        <v>100.20059902</v>
      </c>
      <c r="F16" s="125" t="s">
        <v>26</v>
      </c>
    </row>
    <row r="17" spans="2:6" ht="15.75" thickBot="1">
      <c r="B17" s="421" t="s">
        <v>260</v>
      </c>
      <c r="C17" s="422"/>
      <c r="D17" s="132"/>
      <c r="E17" s="132"/>
      <c r="F17" s="125" t="s">
        <v>26</v>
      </c>
    </row>
    <row r="18" spans="2:6" ht="15.75" thickBot="1">
      <c r="B18" s="425" t="s">
        <v>261</v>
      </c>
      <c r="C18" s="426"/>
      <c r="D18" s="133"/>
      <c r="E18" s="133"/>
      <c r="F18" s="126" t="s">
        <v>26</v>
      </c>
    </row>
  </sheetData>
  <mergeCells count="19">
    <mergeCell ref="H5:M5"/>
    <mergeCell ref="B10:C10"/>
    <mergeCell ref="B11:C11"/>
    <mergeCell ref="B12:C12"/>
    <mergeCell ref="B17:C17"/>
    <mergeCell ref="B15:C15"/>
    <mergeCell ref="B5:C5"/>
    <mergeCell ref="B6:C6"/>
    <mergeCell ref="B7:C7"/>
    <mergeCell ref="B8:C8"/>
    <mergeCell ref="B9:C9"/>
    <mergeCell ref="H11:M11"/>
    <mergeCell ref="B13:C13"/>
    <mergeCell ref="B14:C14"/>
    <mergeCell ref="B2:F2"/>
    <mergeCell ref="B16:C16"/>
    <mergeCell ref="B3:C3"/>
    <mergeCell ref="B4:C4"/>
    <mergeCell ref="B18:C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1.Materiali</vt:lpstr>
      <vt:lpstr>2.Carichi unitari</vt:lpstr>
      <vt:lpstr>3.Riepilogo carichi unitari</vt:lpstr>
      <vt:lpstr>4.Carichi su travi solaio tipo</vt:lpstr>
      <vt:lpstr>5.Carichi su travi solaio cop.</vt:lpstr>
      <vt:lpstr>6.Riep. car. travi e mom. flet.</vt:lpstr>
      <vt:lpstr>c.v. imput tel</vt:lpstr>
      <vt:lpstr>Carico pilastri</vt:lpstr>
      <vt:lpstr>7.Riep. carico pilastri</vt:lpstr>
      <vt:lpstr>8.Masse e forze</vt:lpstr>
      <vt:lpstr>9.Car.sollecitazione</vt:lpstr>
      <vt:lpstr>10.Dim. pilastri e travi</vt:lpstr>
      <vt:lpstr>11.Riep. dim. travi e pil.</vt:lpstr>
      <vt:lpstr>12.Rigidezze di piano</vt:lpstr>
      <vt:lpstr>13.PeriodoT</vt:lpstr>
      <vt:lpstr>14.Bilanciamento</vt:lpstr>
      <vt:lpstr>15.Masse reali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Roberto</cp:lastModifiedBy>
  <dcterms:created xsi:type="dcterms:W3CDTF">2016-11-10T07:11:08Z</dcterms:created>
  <dcterms:modified xsi:type="dcterms:W3CDTF">2017-02-17T19:47:15Z</dcterms:modified>
</cp:coreProperties>
</file>